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xwell\Desktop\"/>
    </mc:Choice>
  </mc:AlternateContent>
  <xr:revisionPtr revIDLastSave="0" documentId="13_ncr:1_{02D0B74F-C711-42A7-B0B4-CD8603BE8510}" xr6:coauthVersionLast="47" xr6:coauthVersionMax="47" xr10:uidLastSave="{00000000-0000-0000-0000-000000000000}"/>
  <bookViews>
    <workbookView xWindow="-120" yWindow="-120" windowWidth="29040" windowHeight="15720" xr2:uid="{5D33F601-31CB-4935-A4FB-01CF402F6B15}"/>
  </bookViews>
  <sheets>
    <sheet name="200 Series GCF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4" i="1" l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<sst xmlns="http://schemas.openxmlformats.org/spreadsheetml/2006/main" count="495" uniqueCount="460">
  <si>
    <t>Gas</t>
  </si>
  <si>
    <t>Symbol</t>
  </si>
  <si>
    <t>GCF</t>
  </si>
  <si>
    <t xml:space="preserve">Density (g/L) </t>
  </si>
  <si>
    <t>Density (g/L)</t>
  </si>
  <si>
    <t>Synonyms</t>
  </si>
  <si>
    <t>25° C / 1 atm</t>
  </si>
  <si>
    <t>0° C / 1 atm</t>
  </si>
  <si>
    <t>Acetic Acid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</si>
  <si>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2</t>
    </r>
  </si>
  <si>
    <t>Ethanoic Acid</t>
  </si>
  <si>
    <t>Acetic Anhydride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</si>
  <si>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3</t>
    </r>
  </si>
  <si>
    <t>Aceticanhydride</t>
  </si>
  <si>
    <t>Acetone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</si>
  <si>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</si>
  <si>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t>2-propanone</t>
  </si>
  <si>
    <t>Acetonitryl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</si>
  <si>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</t>
    </r>
  </si>
  <si>
    <t>Methyl Cyanide</t>
  </si>
  <si>
    <t>Acetylene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</si>
  <si>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</si>
  <si>
    <t>Ethyne</t>
  </si>
  <si>
    <t>Air</t>
  </si>
  <si>
    <t>Allene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</si>
  <si>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</si>
  <si>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Propadiene</t>
  </si>
  <si>
    <t>Ammonia</t>
  </si>
  <si>
    <r>
      <t>NH</t>
    </r>
    <r>
      <rPr>
        <vertAlign val="subscript"/>
        <sz val="8"/>
        <color indexed="8"/>
        <rFont val="Arial"/>
        <family val="2"/>
      </rPr>
      <t>3</t>
    </r>
  </si>
  <si>
    <t>Argon</t>
  </si>
  <si>
    <t>Ar</t>
  </si>
  <si>
    <t>Arsine</t>
  </si>
  <si>
    <r>
      <t>AsH</t>
    </r>
    <r>
      <rPr>
        <vertAlign val="subscript"/>
        <sz val="8"/>
        <color indexed="8"/>
        <rFont val="Arial"/>
        <family val="2"/>
      </rPr>
      <t>3</t>
    </r>
  </si>
  <si>
    <t>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</si>
  <si>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</si>
  <si>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Boron Trichloride</t>
  </si>
  <si>
    <r>
      <t>BCl</t>
    </r>
    <r>
      <rPr>
        <vertAlign val="subscript"/>
        <sz val="8"/>
        <color indexed="8"/>
        <rFont val="Arial"/>
        <family val="2"/>
      </rPr>
      <t>3</t>
    </r>
  </si>
  <si>
    <t>Boron Triflouride</t>
  </si>
  <si>
    <r>
      <t>BF</t>
    </r>
    <r>
      <rPr>
        <vertAlign val="subscript"/>
        <sz val="8"/>
        <color indexed="8"/>
        <rFont val="Arial"/>
        <family val="2"/>
      </rPr>
      <t>3</t>
    </r>
  </si>
  <si>
    <t>Bromine</t>
  </si>
  <si>
    <r>
      <t>Br</t>
    </r>
    <r>
      <rPr>
        <vertAlign val="subscript"/>
        <sz val="8"/>
        <color indexed="8"/>
        <rFont val="Arial"/>
        <family val="2"/>
      </rPr>
      <t>2</t>
    </r>
  </si>
  <si>
    <t>Bromochlorodifluoromethane</t>
  </si>
  <si>
    <t>CBrClF2</t>
  </si>
  <si>
    <t>Bromodifluoromethane</t>
  </si>
  <si>
    <r>
      <t>CHBrF</t>
    </r>
    <r>
      <rPr>
        <vertAlign val="subscript"/>
        <sz val="8"/>
        <color indexed="8"/>
        <rFont val="Arial"/>
        <family val="2"/>
      </rPr>
      <t>2</t>
    </r>
  </si>
  <si>
    <t>Bromotrifluormethane</t>
  </si>
  <si>
    <r>
      <t>CBrF</t>
    </r>
    <r>
      <rPr>
        <vertAlign val="subscript"/>
        <sz val="8"/>
        <color indexed="8"/>
        <rFont val="Arial"/>
        <family val="2"/>
      </rPr>
      <t>3</t>
    </r>
  </si>
  <si>
    <t>Butane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</si>
  <si>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</si>
  <si>
    <t>Butanol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</si>
  <si>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O</t>
    </r>
  </si>
  <si>
    <t>1-Butanol, Butyl Alcohol</t>
  </si>
  <si>
    <t>Butene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</si>
  <si>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</si>
  <si>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1-Butene, 1-Butylene</t>
  </si>
  <si>
    <t>Carbon Dioxide</t>
  </si>
  <si>
    <r>
      <t>CO</t>
    </r>
    <r>
      <rPr>
        <vertAlign val="subscript"/>
        <sz val="8"/>
        <color indexed="8"/>
        <rFont val="Arial"/>
        <family val="2"/>
      </rPr>
      <t>2</t>
    </r>
  </si>
  <si>
    <t>Carbon Disulfide</t>
  </si>
  <si>
    <r>
      <t>CS</t>
    </r>
    <r>
      <rPr>
        <vertAlign val="subscript"/>
        <sz val="8"/>
        <color indexed="8"/>
        <rFont val="Arial"/>
        <family val="2"/>
      </rPr>
      <t>2</t>
    </r>
  </si>
  <si>
    <t>Carbon Monoxide</t>
  </si>
  <si>
    <t>CO</t>
  </si>
  <si>
    <t>Carbon Tetrachloride</t>
  </si>
  <si>
    <r>
      <t>CCl</t>
    </r>
    <r>
      <rPr>
        <vertAlign val="subscript"/>
        <sz val="8"/>
        <color indexed="8"/>
        <rFont val="Arial"/>
        <family val="2"/>
      </rPr>
      <t>4</t>
    </r>
  </si>
  <si>
    <t>Tetrachloromethane</t>
  </si>
  <si>
    <t>Carbonyl Sulfide</t>
  </si>
  <si>
    <t>COS</t>
  </si>
  <si>
    <t>Carbon Oxysulfide</t>
  </si>
  <si>
    <t>Chlorine</t>
  </si>
  <si>
    <r>
      <t>Cl</t>
    </r>
    <r>
      <rPr>
        <vertAlign val="subscript"/>
        <sz val="8"/>
        <color indexed="8"/>
        <rFont val="Arial"/>
        <family val="2"/>
      </rPr>
      <t>2</t>
    </r>
  </si>
  <si>
    <t>Chlorine Trifluoride</t>
  </si>
  <si>
    <r>
      <t>ClF</t>
    </r>
    <r>
      <rPr>
        <vertAlign val="subscript"/>
        <sz val="8"/>
        <color indexed="8"/>
        <rFont val="Arial"/>
        <family val="2"/>
      </rPr>
      <t>3</t>
    </r>
  </si>
  <si>
    <t>Chlorobenzene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</si>
  <si>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Cl</t>
    </r>
  </si>
  <si>
    <t>Chlorodifluoroethane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</si>
  <si>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ClF</t>
    </r>
    <r>
      <rPr>
        <vertAlign val="subscript"/>
        <sz val="8"/>
        <color indexed="8"/>
        <rFont val="Arial"/>
        <family val="2"/>
      </rPr>
      <t>2</t>
    </r>
  </si>
  <si>
    <t>Ethane, 2-chloro-1,1-difluoro-</t>
  </si>
  <si>
    <t>Chloroform</t>
  </si>
  <si>
    <r>
      <t>CHCl</t>
    </r>
    <r>
      <rPr>
        <vertAlign val="subscript"/>
        <sz val="8"/>
        <color indexed="8"/>
        <rFont val="Arial"/>
        <family val="2"/>
      </rPr>
      <t>3</t>
    </r>
  </si>
  <si>
    <t>Trichloromethane</t>
  </si>
  <si>
    <t>Chloropentafluoroethane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</si>
  <si>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ClF</t>
    </r>
    <r>
      <rPr>
        <vertAlign val="subscript"/>
        <sz val="8"/>
        <color indexed="8"/>
        <rFont val="Arial"/>
        <family val="2"/>
      </rPr>
      <t>5</t>
    </r>
  </si>
  <si>
    <t>Chloropropane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</si>
  <si>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Cl</t>
    </r>
  </si>
  <si>
    <t>Propylchloride</t>
  </si>
  <si>
    <t>Cisbutene</t>
  </si>
  <si>
    <t>Cis-2-butene</t>
  </si>
  <si>
    <t>Cyanogen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</si>
  <si>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N</t>
    </r>
    <r>
      <rPr>
        <vertAlign val="subscript"/>
        <sz val="8"/>
        <color indexed="8"/>
        <rFont val="Arial"/>
        <family val="2"/>
      </rPr>
      <t>2</t>
    </r>
  </si>
  <si>
    <t>Cyanogen Chloride</t>
  </si>
  <si>
    <t>ClCN</t>
  </si>
  <si>
    <t>Cyclobutane</t>
  </si>
  <si>
    <t>Tetramethylene</t>
  </si>
  <si>
    <t>Cyclopropane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</si>
  <si>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</si>
  <si>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Trimethylene</t>
  </si>
  <si>
    <t>Deuterium</t>
  </si>
  <si>
    <r>
      <t>H</t>
    </r>
    <r>
      <rPr>
        <vertAlign val="superscript"/>
        <sz val="8"/>
        <color indexed="8"/>
        <rFont val="Arial"/>
        <family val="2"/>
      </rPr>
      <t>2</t>
    </r>
    <r>
      <rPr>
        <vertAlign val="subscript"/>
        <sz val="8"/>
        <color indexed="8"/>
        <rFont val="Arial"/>
        <family val="2"/>
      </rPr>
      <t>2</t>
    </r>
  </si>
  <si>
    <r>
      <t>D</t>
    </r>
    <r>
      <rPr>
        <vertAlign val="subscript"/>
        <sz val="8"/>
        <color indexed="8"/>
        <rFont val="Arial"/>
        <family val="2"/>
      </rPr>
      <t>2</t>
    </r>
  </si>
  <si>
    <t>Diborane</t>
  </si>
  <si>
    <r>
      <t>B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</si>
  <si>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Dibromodifluoromethane</t>
  </si>
  <si>
    <t>CBr2F2</t>
  </si>
  <si>
    <t>Dichlorofluoromethane</t>
  </si>
  <si>
    <r>
      <t>CHCl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sz val="10"/>
        <rFont val="Arial"/>
        <family val="2"/>
      </rPr>
      <t/>
    </r>
  </si>
  <si>
    <t>R21</t>
  </si>
  <si>
    <t>Dichloromethane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</si>
  <si>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10"/>
        <rFont val="Arial"/>
        <family val="2"/>
      </rPr>
      <t/>
    </r>
  </si>
  <si>
    <t>Methylene Chloride</t>
  </si>
  <si>
    <t>Dichloropropane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</si>
  <si>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</si>
  <si>
    <t>1,2-dichloropropane,</t>
  </si>
  <si>
    <t>Dichlorosilane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</si>
  <si>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SiCl</t>
    </r>
    <r>
      <rPr>
        <vertAlign val="subscript"/>
        <sz val="8"/>
        <color indexed="8"/>
        <rFont val="Arial"/>
        <family val="2"/>
      </rPr>
      <t>2</t>
    </r>
  </si>
  <si>
    <t>Diethyl Amine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</si>
  <si>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>N</t>
    </r>
  </si>
  <si>
    <t>Diethyl Ether</t>
  </si>
  <si>
    <t>1,1-oxybisethane</t>
  </si>
  <si>
    <t>Diethyl Sulfide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</si>
  <si>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S</t>
    </r>
  </si>
  <si>
    <t>3-thiapentane, UN-2375</t>
  </si>
  <si>
    <t>Difluoroethylene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</si>
  <si>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</si>
  <si>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Vinylidenefluoride, G-1132A, Difluoroethene</t>
  </si>
  <si>
    <t>Dimethylamine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</si>
  <si>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N</t>
    </r>
  </si>
  <si>
    <t>N-methylmethanamine</t>
  </si>
  <si>
    <t>Dimethyl Ether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</si>
  <si>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sz val="10"/>
        <rFont val="Arial"/>
        <family val="2"/>
      </rPr>
      <t/>
    </r>
  </si>
  <si>
    <t>Methylether;  Methane, Oxybis-</t>
  </si>
  <si>
    <t>Dimethyl Sulfide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</si>
  <si>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S</t>
    </r>
  </si>
  <si>
    <t>2-thiopropane, Thiobismethane</t>
  </si>
  <si>
    <t>Divinyl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</si>
  <si>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10"/>
        <rFont val="Arial"/>
        <family val="2"/>
      </rPr>
      <t/>
    </r>
  </si>
  <si>
    <t>1,3-butadiene</t>
  </si>
  <si>
    <t>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</si>
  <si>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</si>
  <si>
    <t>Ethane, 1-chloro-1,1,2,2-tetrafluoro-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</si>
  <si>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HClF</t>
    </r>
    <r>
      <rPr>
        <vertAlign val="subscript"/>
        <sz val="8"/>
        <color indexed="8"/>
        <rFont val="Arial"/>
        <family val="2"/>
      </rPr>
      <t>4</t>
    </r>
  </si>
  <si>
    <t>Chlorotetrafluoroethane, F124, R124, Monochlorotetrafluoroethane</t>
  </si>
  <si>
    <t>Ethane, 1-chloro-1,2,2,2-tetrafluoro-</t>
  </si>
  <si>
    <t>Chlorotetrafluoroethane</t>
  </si>
  <si>
    <t>Ethanol</t>
  </si>
  <si>
    <t>Ethyl Alcohol</t>
  </si>
  <si>
    <t>Ethylacetylene</t>
  </si>
  <si>
    <t>1-butyne</t>
  </si>
  <si>
    <t>Ethyl Amine</t>
  </si>
  <si>
    <t>Ethanamine</t>
  </si>
  <si>
    <t>Ethylbenzene</t>
  </si>
  <si>
    <r>
      <t>C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</si>
  <si>
    <t>Ethyl 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</si>
  <si>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Br</t>
    </r>
  </si>
  <si>
    <t>Ethyl 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</si>
  <si>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Cl</t>
    </r>
  </si>
  <si>
    <t>Chloroethane</t>
  </si>
  <si>
    <t>Ethyl Fluoride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</si>
  <si>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F</t>
    </r>
  </si>
  <si>
    <t>Fluoroethane, R-161</t>
  </si>
  <si>
    <t>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</si>
  <si>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</si>
  <si>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Ethene</t>
  </si>
  <si>
    <t>Ethylene Dibromide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</si>
  <si>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Br</t>
    </r>
    <r>
      <rPr>
        <vertAlign val="subscript"/>
        <sz val="8"/>
        <color indexed="8"/>
        <rFont val="Arial"/>
        <family val="2"/>
      </rPr>
      <t>2</t>
    </r>
  </si>
  <si>
    <t>1,2-dibromoethane</t>
  </si>
  <si>
    <t>Ethylene Dichloride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</si>
  <si>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</si>
  <si>
    <t>1,2-dichloroethane</t>
  </si>
  <si>
    <t>Ethylene Oxide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</si>
  <si>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</si>
  <si>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Acetaldehide</t>
  </si>
  <si>
    <t>Ethyleneimine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</si>
  <si>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N</t>
    </r>
  </si>
  <si>
    <t>Aziridine</t>
  </si>
  <si>
    <t>Ethylidene Dichloride</t>
  </si>
  <si>
    <t>1,1-dichloroethane</t>
  </si>
  <si>
    <t>Ethyl Mercaptan</t>
  </si>
  <si>
    <t>Ethanethiol</t>
  </si>
  <si>
    <t>Fluorine</t>
  </si>
  <si>
    <r>
      <t>F</t>
    </r>
    <r>
      <rPr>
        <vertAlign val="subscript"/>
        <sz val="8"/>
        <color indexed="8"/>
        <rFont val="Arial"/>
        <family val="2"/>
      </rPr>
      <t>2</t>
    </r>
  </si>
  <si>
    <t>Formaldehyde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</si>
  <si>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</si>
  <si>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Freon 11</t>
  </si>
  <si>
    <r>
      <t>CCl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</si>
  <si>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Trichloro,fluoromethane</t>
  </si>
  <si>
    <t>Freon 12</t>
  </si>
  <si>
    <r>
      <t>CCl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</si>
  <si>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Dichloro,difluoromethane</t>
  </si>
  <si>
    <t>Freon 13</t>
  </si>
  <si>
    <r>
      <t>CClF</t>
    </r>
    <r>
      <rPr>
        <vertAlign val="subscript"/>
        <sz val="8"/>
        <color indexed="8"/>
        <rFont val="Arial"/>
        <family val="2"/>
      </rPr>
      <t>3</t>
    </r>
  </si>
  <si>
    <t>Chloro, trifluoromethane</t>
  </si>
  <si>
    <t>Freon 14</t>
  </si>
  <si>
    <r>
      <t>CF</t>
    </r>
    <r>
      <rPr>
        <vertAlign val="subscript"/>
        <sz val="8"/>
        <color indexed="8"/>
        <rFont val="Arial"/>
        <family val="2"/>
      </rPr>
      <t>4</t>
    </r>
  </si>
  <si>
    <t>Carb. Tetrafluoride, Meth.Tetrafluoride</t>
  </si>
  <si>
    <t>Freon 22</t>
  </si>
  <si>
    <r>
      <t>CHClF</t>
    </r>
    <r>
      <rPr>
        <vertAlign val="subscript"/>
        <sz val="8"/>
        <color indexed="8"/>
        <rFont val="Arial"/>
        <family val="2"/>
      </rPr>
      <t>2</t>
    </r>
  </si>
  <si>
    <t>Chloro, difluoromethane</t>
  </si>
  <si>
    <t>Freon 23</t>
  </si>
  <si>
    <r>
      <t>CHF</t>
    </r>
    <r>
      <rPr>
        <vertAlign val="subscript"/>
        <sz val="8"/>
        <color indexed="8"/>
        <rFont val="Arial"/>
        <family val="2"/>
      </rPr>
      <t>3</t>
    </r>
  </si>
  <si>
    <t>Trifluoromethane, Fluoroform</t>
  </si>
  <si>
    <t>Freon 114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</si>
  <si>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</si>
  <si>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1,2-dichloro, 1,1,,2,2-tetrafluoroethane</t>
  </si>
  <si>
    <t>Furan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</si>
  <si>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</si>
  <si>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Oxacylopentadiene</t>
  </si>
  <si>
    <t>Helium</t>
  </si>
  <si>
    <t>He</t>
  </si>
  <si>
    <t>Heptafluoropropane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</si>
  <si>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HF</t>
    </r>
    <r>
      <rPr>
        <vertAlign val="subscript"/>
        <sz val="8"/>
        <color indexed="8"/>
        <rFont val="Arial"/>
        <family val="2"/>
      </rPr>
      <t>7</t>
    </r>
  </si>
  <si>
    <t>Freon 227, R-227ea</t>
  </si>
  <si>
    <t>Hexamethyldisilazane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</si>
  <si>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NSi</t>
    </r>
    <r>
      <rPr>
        <vertAlign val="subscript"/>
        <sz val="8"/>
        <color indexed="8"/>
        <rFont val="Arial"/>
        <family val="2"/>
      </rPr>
      <t>2</t>
    </r>
  </si>
  <si>
    <t>HMDS</t>
  </si>
  <si>
    <t>Hexamethyldisiloxane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</si>
  <si>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OSi</t>
    </r>
    <r>
      <rPr>
        <vertAlign val="subscript"/>
        <sz val="8"/>
        <color indexed="8"/>
        <rFont val="Arial"/>
        <family val="2"/>
      </rPr>
      <t>2</t>
    </r>
  </si>
  <si>
    <t>Hexane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</si>
  <si>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14</t>
    </r>
  </si>
  <si>
    <t>Hexafluorobenzene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</si>
  <si>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6</t>
    </r>
  </si>
  <si>
    <t>Perfluorobenzene</t>
  </si>
  <si>
    <t>Hexene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</si>
  <si>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12</t>
    </r>
  </si>
  <si>
    <t>1-Hexene</t>
  </si>
  <si>
    <t>Hydrazine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</si>
  <si>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</si>
  <si>
    <t>Hydrogen</t>
  </si>
  <si>
    <r>
      <t>H</t>
    </r>
    <r>
      <rPr>
        <vertAlign val="subscript"/>
        <sz val="8"/>
        <color indexed="8"/>
        <rFont val="Arial"/>
        <family val="2"/>
      </rPr>
      <t>2</t>
    </r>
  </si>
  <si>
    <t>Hydrogen Bromide</t>
  </si>
  <si>
    <t>HBr</t>
  </si>
  <si>
    <t>Hydrogen Chloride</t>
  </si>
  <si>
    <t>HCl</t>
  </si>
  <si>
    <t>Hydrogen Cyanide</t>
  </si>
  <si>
    <t>CHN</t>
  </si>
  <si>
    <t>Hydrocyanic Acid</t>
  </si>
  <si>
    <t>Hydrogen Fluoride</t>
  </si>
  <si>
    <t>HF</t>
  </si>
  <si>
    <t>Hydrogen Iodide</t>
  </si>
  <si>
    <t>HI</t>
  </si>
  <si>
    <t>Hydrogen Selenide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</si>
  <si>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Se</t>
    </r>
  </si>
  <si>
    <t>Hydrogen Sulfide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</si>
  <si>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</t>
    </r>
  </si>
  <si>
    <t>Isobutane</t>
  </si>
  <si>
    <t>2-Methylpropane</t>
  </si>
  <si>
    <t>Isobutanol</t>
  </si>
  <si>
    <t>2-methyl-1-propanol, Isobutyl Alcohol</t>
  </si>
  <si>
    <t>Isobutene</t>
  </si>
  <si>
    <t>Isobutylene, Methylpropene</t>
  </si>
  <si>
    <t>Isopentane</t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</si>
  <si>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12</t>
    </r>
  </si>
  <si>
    <t>2-methylbutane</t>
  </si>
  <si>
    <t>Isopropyl Alcohol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</si>
  <si>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</si>
  <si>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t>2- propanol</t>
  </si>
  <si>
    <t>Isoxazole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</si>
  <si>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NO</t>
    </r>
  </si>
  <si>
    <t>1-Oxa-2-azacyclopentadiene</t>
  </si>
  <si>
    <t>Ketene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</si>
  <si>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</si>
  <si>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Krypton</t>
  </si>
  <si>
    <t>Kr</t>
  </si>
  <si>
    <t>Methane</t>
  </si>
  <si>
    <r>
      <t>CH</t>
    </r>
    <r>
      <rPr>
        <vertAlign val="subscript"/>
        <sz val="8"/>
        <color indexed="8"/>
        <rFont val="Arial"/>
        <family val="2"/>
      </rPr>
      <t>4</t>
    </r>
  </si>
  <si>
    <t>Methanol</t>
  </si>
  <si>
    <r>
      <t>CH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</si>
  <si>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t>Methyl Alcohol</t>
  </si>
  <si>
    <t>Methyl Acetate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</si>
  <si>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2</t>
    </r>
  </si>
  <si>
    <t>Methyl Ethanoate</t>
  </si>
  <si>
    <t>Methyl Acetylene</t>
  </si>
  <si>
    <t>Propyne</t>
  </si>
  <si>
    <t>Methylamine</t>
  </si>
  <si>
    <r>
      <t>CH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N</t>
    </r>
  </si>
  <si>
    <t>Methanamine</t>
  </si>
  <si>
    <t>Methyl Bromide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</si>
  <si>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Br</t>
    </r>
  </si>
  <si>
    <t>Methyl Chloride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</si>
  <si>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</si>
  <si>
    <t>Chloromethane</t>
  </si>
  <si>
    <t>Methylcyclohexane</t>
  </si>
  <si>
    <r>
      <t>C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14</t>
    </r>
  </si>
  <si>
    <t>Methyl Ethyl Amine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</si>
  <si>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N</t>
    </r>
  </si>
  <si>
    <t>2-propanamine</t>
  </si>
  <si>
    <t>Methyl Ethyl Ether</t>
  </si>
  <si>
    <t>Methoxyethane</t>
  </si>
  <si>
    <t>Methyl Ethyl Sulfide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</si>
  <si>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S</t>
    </r>
  </si>
  <si>
    <t>2-thiabutane, Methylthioethane</t>
  </si>
  <si>
    <t>Methyl Fluoride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</si>
  <si>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</si>
  <si>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Fluoromethane</t>
  </si>
  <si>
    <t>Methyl Formate</t>
  </si>
  <si>
    <t>Methyl Iodide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</si>
  <si>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I</t>
    </r>
  </si>
  <si>
    <t>Methyl Mercaptan</t>
  </si>
  <si>
    <r>
      <t>CH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</t>
    </r>
  </si>
  <si>
    <t>Methanethiol</t>
  </si>
  <si>
    <t>Methylpentene</t>
  </si>
  <si>
    <t>Methyl Vinyl Ether</t>
  </si>
  <si>
    <t>Neon</t>
  </si>
  <si>
    <t>Ne</t>
  </si>
  <si>
    <t>Nitric Oxide</t>
  </si>
  <si>
    <t>NO</t>
  </si>
  <si>
    <t>Niutrogen Monoxide</t>
  </si>
  <si>
    <t>Nitrogen</t>
  </si>
  <si>
    <r>
      <t>N</t>
    </r>
    <r>
      <rPr>
        <vertAlign val="subscript"/>
        <sz val="8"/>
        <color indexed="8"/>
        <rFont val="Arial"/>
        <family val="2"/>
      </rPr>
      <t>2</t>
    </r>
  </si>
  <si>
    <t>Nitrogen Dioxide</t>
  </si>
  <si>
    <r>
      <t>NO</t>
    </r>
    <r>
      <rPr>
        <vertAlign val="subscript"/>
        <sz val="8"/>
        <color indexed="8"/>
        <rFont val="Arial"/>
        <family val="2"/>
      </rPr>
      <t>2</t>
    </r>
  </si>
  <si>
    <t>Nitrogen Tetroxide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</si>
  <si>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</si>
  <si>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t>Nitrogen Trifluoride</t>
  </si>
  <si>
    <r>
      <t>NF</t>
    </r>
    <r>
      <rPr>
        <vertAlign val="subscript"/>
        <sz val="8"/>
        <color indexed="8"/>
        <rFont val="Arial"/>
        <family val="2"/>
      </rPr>
      <t>3</t>
    </r>
  </si>
  <si>
    <t>Nitromethane</t>
  </si>
  <si>
    <r>
      <t>CH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NO</t>
    </r>
    <r>
      <rPr>
        <vertAlign val="subscript"/>
        <sz val="8"/>
        <color indexed="8"/>
        <rFont val="Arial"/>
        <family val="2"/>
      </rPr>
      <t>2</t>
    </r>
  </si>
  <si>
    <t>Nitrosyl Chloride</t>
  </si>
  <si>
    <t>NOCl</t>
  </si>
  <si>
    <t>Nitrous Oxide</t>
  </si>
  <si>
    <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</si>
  <si>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n-Pentane</t>
  </si>
  <si>
    <t>Dimethylpropane</t>
  </si>
  <si>
    <t>Octane</t>
  </si>
  <si>
    <r>
      <t>C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18</t>
    </r>
  </si>
  <si>
    <t>Oxygen</t>
  </si>
  <si>
    <r>
      <t>O</t>
    </r>
    <r>
      <rPr>
        <vertAlign val="subscript"/>
        <sz val="8"/>
        <color indexed="8"/>
        <rFont val="Arial"/>
        <family val="2"/>
      </rPr>
      <t>2</t>
    </r>
  </si>
  <si>
    <t>Oxygen Difluoride</t>
  </si>
  <si>
    <r>
      <t>F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</si>
  <si>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Ozone</t>
  </si>
  <si>
    <r>
      <t>O</t>
    </r>
    <r>
      <rPr>
        <vertAlign val="subscript"/>
        <sz val="8"/>
        <color indexed="8"/>
        <rFont val="Arial"/>
        <family val="2"/>
      </rPr>
      <t>3</t>
    </r>
  </si>
  <si>
    <t>Pentaborane</t>
  </si>
  <si>
    <r>
      <t>B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9</t>
    </r>
  </si>
  <si>
    <t>Pentane</t>
  </si>
  <si>
    <t>Perchloryl Fluoride</t>
  </si>
  <si>
    <r>
      <t>ClFO</t>
    </r>
    <r>
      <rPr>
        <vertAlign val="subscript"/>
        <sz val="8"/>
        <color indexed="8"/>
        <rFont val="Arial"/>
        <family val="2"/>
      </rPr>
      <t>3</t>
    </r>
  </si>
  <si>
    <t>Perfluorocyclobutane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</si>
  <si>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8</t>
    </r>
  </si>
  <si>
    <t>Octafluorocyclobutane</t>
  </si>
  <si>
    <t>Perfluoroethane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</si>
  <si>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6</t>
    </r>
    <r>
      <rPr>
        <sz val="10"/>
        <rFont val="Arial"/>
        <family val="2"/>
      </rPr>
      <t/>
    </r>
  </si>
  <si>
    <t>R116, Hexafluoroethane</t>
  </si>
  <si>
    <t>Perfluoropropane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</si>
  <si>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8</t>
    </r>
  </si>
  <si>
    <t>Phenol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</si>
  <si>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</si>
  <si>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t>Hydroxybenzene</t>
  </si>
  <si>
    <t>Phosgene</t>
  </si>
  <si>
    <r>
      <t>COCl</t>
    </r>
    <r>
      <rPr>
        <vertAlign val="subscript"/>
        <sz val="8"/>
        <color indexed="8"/>
        <rFont val="Arial"/>
        <family val="2"/>
      </rPr>
      <t>2</t>
    </r>
  </si>
  <si>
    <t>Carbonyl Chloride</t>
  </si>
  <si>
    <t>Phosphine</t>
  </si>
  <si>
    <r>
      <t>PH</t>
    </r>
    <r>
      <rPr>
        <vertAlign val="subscript"/>
        <sz val="8"/>
        <color indexed="8"/>
        <rFont val="Arial"/>
        <family val="2"/>
      </rPr>
      <t>3</t>
    </r>
  </si>
  <si>
    <t>Phosphorus Trifluoride</t>
  </si>
  <si>
    <r>
      <t>PF</t>
    </r>
    <r>
      <rPr>
        <vertAlign val="subscript"/>
        <sz val="8"/>
        <color indexed="8"/>
        <rFont val="Arial"/>
        <family val="2"/>
      </rPr>
      <t>3</t>
    </r>
  </si>
  <si>
    <t>Propane</t>
  </si>
  <si>
    <r>
      <t>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</si>
  <si>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Propyl Alcohol</t>
  </si>
  <si>
    <t>1- propanol</t>
  </si>
  <si>
    <t>Propyl Amine</t>
  </si>
  <si>
    <t>1-propanamine</t>
  </si>
  <si>
    <t>Propylene</t>
  </si>
  <si>
    <t>Propene</t>
  </si>
  <si>
    <t>Pyridine</t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</si>
  <si>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N</t>
    </r>
  </si>
  <si>
    <t>Azine, Azabenzene</t>
  </si>
  <si>
    <t>R32</t>
  </si>
  <si>
    <r>
      <t>CH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</si>
  <si>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Difluoromethane, Methylene Fluoride</t>
  </si>
  <si>
    <t>R123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</si>
  <si>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</si>
  <si>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2,2-Dichloro-1,1,1-trifluoroethane</t>
  </si>
  <si>
    <t>R123A</t>
  </si>
  <si>
    <t>1,2-Dichloro-1,2,2-trifluoroethane</t>
  </si>
  <si>
    <t>R125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</si>
  <si>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HF</t>
    </r>
    <r>
      <rPr>
        <vertAlign val="subscript"/>
        <sz val="8"/>
        <color indexed="8"/>
        <rFont val="Arial"/>
        <family val="2"/>
      </rPr>
      <t>5</t>
    </r>
  </si>
  <si>
    <t>Pentafluoroethane</t>
  </si>
  <si>
    <t>R134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</si>
  <si>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</si>
  <si>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1,1,2,2-tetrafluoroethane</t>
  </si>
  <si>
    <t>R134a</t>
  </si>
  <si>
    <t>1,1,1,2-tetrafluoroethane</t>
  </si>
  <si>
    <t>R143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</si>
  <si>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</si>
  <si>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1,1,2-trifluoroethane</t>
  </si>
  <si>
    <t>R143A</t>
  </si>
  <si>
    <t>1,1,1-trifluoroethane, Methylfluoroform</t>
  </si>
  <si>
    <t>R152A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</si>
  <si>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2</t>
    </r>
  </si>
  <si>
    <t>1,1-Difluoroethane</t>
  </si>
  <si>
    <t>R218</t>
  </si>
  <si>
    <t>Octafluoropropane</t>
  </si>
  <si>
    <t>R1416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</si>
  <si>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</si>
  <si>
    <t xml:space="preserve">1,1-Dichloro-1-fluoroethane, </t>
  </si>
  <si>
    <t>Radon</t>
  </si>
  <si>
    <t>Rn</t>
  </si>
  <si>
    <t>Sec-butanol</t>
  </si>
  <si>
    <t>2-butanol, Sec-butyl Alcohol</t>
  </si>
  <si>
    <t>Silane</t>
  </si>
  <si>
    <r>
      <t>SiH</t>
    </r>
    <r>
      <rPr>
        <vertAlign val="subscript"/>
        <sz val="8"/>
        <color indexed="8"/>
        <rFont val="Arial"/>
        <family val="2"/>
      </rPr>
      <t>4</t>
    </r>
  </si>
  <si>
    <t>Silicone Tetrafluoride</t>
  </si>
  <si>
    <r>
      <t>SiF</t>
    </r>
    <r>
      <rPr>
        <vertAlign val="subscript"/>
        <sz val="8"/>
        <color indexed="8"/>
        <rFont val="Arial"/>
        <family val="2"/>
      </rPr>
      <t>4</t>
    </r>
  </si>
  <si>
    <t>Tetrafluorosilane</t>
  </si>
  <si>
    <t>Sulfur Dioxide</t>
  </si>
  <si>
    <r>
      <t>SO</t>
    </r>
    <r>
      <rPr>
        <vertAlign val="subscript"/>
        <sz val="8"/>
        <color indexed="8"/>
        <rFont val="Arial"/>
        <family val="2"/>
      </rPr>
      <t>2</t>
    </r>
  </si>
  <si>
    <t>Sulfur Hexafluoride</t>
  </si>
  <si>
    <r>
      <t>SF</t>
    </r>
    <r>
      <rPr>
        <vertAlign val="subscript"/>
        <sz val="8"/>
        <color indexed="8"/>
        <rFont val="Arial"/>
        <family val="2"/>
      </rPr>
      <t>6</t>
    </r>
  </si>
  <si>
    <t>Sulfur Tetrafluoride</t>
  </si>
  <si>
    <r>
      <t>SF</t>
    </r>
    <r>
      <rPr>
        <vertAlign val="subscript"/>
        <sz val="8"/>
        <color indexed="8"/>
        <rFont val="Arial"/>
        <family val="2"/>
      </rPr>
      <t>4</t>
    </r>
  </si>
  <si>
    <t>Sulfur Trifluoride</t>
  </si>
  <si>
    <r>
      <t>SF</t>
    </r>
    <r>
      <rPr>
        <vertAlign val="subscript"/>
        <sz val="8"/>
        <color indexed="8"/>
        <rFont val="Arial"/>
        <family val="2"/>
      </rPr>
      <t>3</t>
    </r>
  </si>
  <si>
    <t>Sulfur Trioxide</t>
  </si>
  <si>
    <r>
      <t>SO</t>
    </r>
    <r>
      <rPr>
        <vertAlign val="subscript"/>
        <sz val="8"/>
        <color indexed="8"/>
        <rFont val="Arial"/>
        <family val="2"/>
      </rPr>
      <t>3</t>
    </r>
  </si>
  <si>
    <t>Tetrachloroethylene</t>
  </si>
  <si>
    <r>
      <t xml:space="preserve"> 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4</t>
    </r>
  </si>
  <si>
    <t>Tetrafluoroethylene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</si>
  <si>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4</t>
    </r>
  </si>
  <si>
    <t>Tetrafluoroethene</t>
  </si>
  <si>
    <t>Tetrahydrofuran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</si>
  <si>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</si>
  <si>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t>Tert-butanol</t>
  </si>
  <si>
    <t>2-methyl-2-propanol, Tertiarey Butyl Alcohol</t>
  </si>
  <si>
    <t>Thiophene</t>
  </si>
  <si>
    <r>
      <t>C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</t>
    </r>
  </si>
  <si>
    <t>Thiofuran</t>
  </si>
  <si>
    <t>Toluene</t>
  </si>
  <si>
    <r>
      <t>C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</t>
    </r>
  </si>
  <si>
    <t>Methylbutene</t>
  </si>
  <si>
    <t>Transbutene</t>
  </si>
  <si>
    <t>2-butene</t>
  </si>
  <si>
    <t>Trichloroethane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</si>
  <si>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3</t>
    </r>
  </si>
  <si>
    <t>Trichloroethylene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</si>
  <si>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HCl</t>
    </r>
    <r>
      <rPr>
        <vertAlign val="subscript"/>
        <sz val="8"/>
        <color indexed="8"/>
        <rFont val="Arial"/>
        <family val="2"/>
      </rPr>
      <t>4</t>
    </r>
    <r>
      <rPr>
        <sz val="10"/>
        <rFont val="Arial"/>
        <family val="2"/>
      </rPr>
      <t/>
    </r>
  </si>
  <si>
    <t>Trichlorotrifluoroethane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</si>
  <si>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  <r>
      <rPr>
        <vertAlign val="subscript"/>
        <sz val="8"/>
        <color indexed="8"/>
        <rFont val="Arial"/>
        <family val="2"/>
      </rPr>
      <t>3</t>
    </r>
  </si>
  <si>
    <t>R113, 1,1,2-trichloro-1,2,2-trifluoroethane</t>
  </si>
  <si>
    <t>Triethylamine</t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</si>
  <si>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N</t>
    </r>
  </si>
  <si>
    <t>UN 1296, n,n-diethylethanamine</t>
  </si>
  <si>
    <t>Trimethyl Amine</t>
  </si>
  <si>
    <t>n,n-dimethylmethanamine</t>
  </si>
  <si>
    <t>Tungsten Hexafluoride</t>
  </si>
  <si>
    <r>
      <t>WF</t>
    </r>
    <r>
      <rPr>
        <vertAlign val="subscript"/>
        <sz val="8"/>
        <color indexed="8"/>
        <rFont val="Arial"/>
        <family val="2"/>
      </rPr>
      <t>6</t>
    </r>
  </si>
  <si>
    <t>Uranium Hexafluoride</t>
  </si>
  <si>
    <r>
      <t>UF</t>
    </r>
    <r>
      <rPr>
        <vertAlign val="subscript"/>
        <sz val="8"/>
        <color indexed="8"/>
        <rFont val="Arial"/>
        <family val="2"/>
      </rPr>
      <t>6</t>
    </r>
  </si>
  <si>
    <t>Uranium Fluoride</t>
  </si>
  <si>
    <t>Vinyl Bromide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</si>
  <si>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Br</t>
    </r>
  </si>
  <si>
    <t>Vinyl Chloride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</si>
  <si>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Cl</t>
    </r>
  </si>
  <si>
    <t>Chloroethylene</t>
  </si>
  <si>
    <t>Vinyl Flouride</t>
  </si>
  <si>
    <r>
      <t>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F</t>
    </r>
  </si>
  <si>
    <t>Water Vapor</t>
  </si>
  <si>
    <r>
      <t>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</si>
  <si>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Xenon</t>
  </si>
  <si>
    <t>Xe</t>
  </si>
  <si>
    <t>Xylene, m-</t>
  </si>
  <si>
    <t>Xylene, o-</t>
  </si>
  <si>
    <t>Xylene, p-</t>
  </si>
  <si>
    <t>200 Series​ ​Mass Flow Gas Conversion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</si>
</sst>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6940-D51A-4726-9616-E850EFB49D7D}">
  <dimension ref="A1:F194"/>
  <sheetViews>
    <sheetView tabSelected="1" workbookViewId="0">
      <selection activeCell="J9" sqref="J9"/>
    </sheetView>
  </sheetViews>
  <sheetFormatPr defaultRowHeight="15" x14ac:dyDescent="0.25"/>
  <cols>
    <col min="1" max="1" width="25.140625" bestFit="1" customWidth="1"/>
    <col min="2" max="2" width="7.5703125" bestFit="1" customWidth="1"/>
    <col min="3" max="3" width="5.85546875" bestFit="1" customWidth="1"/>
    <col min="4" max="4" width="9.85546875" bestFit="1" customWidth="1"/>
    <col min="5" max="5" width="9.85546875" customWidth="1"/>
    <col min="6" max="6" width="29.85546875" customWidth="1"/>
  </cols>
  <sheetData>
    <row r="1" spans="1:6" ht="15.75" x14ac:dyDescent="0.25">
      <c r="A1" s="10" t="s">
        <v>459</v>
      </c>
      <c r="B1" s="10"/>
      <c r="C1" s="10"/>
      <c r="D1" s="10"/>
      <c r="E1" s="10"/>
      <c r="F1" s="10"/>
    </row>
    <row r="2" spans="1:6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3"/>
      <c r="B3" s="3"/>
      <c r="C3" s="4"/>
      <c r="D3" s="3" t="s">
        <v>6</v>
      </c>
      <c r="E3" s="3" t="s">
        <v>7</v>
      </c>
      <c r="F3" s="3"/>
    </row>
    <row r="4" spans="1:6" x14ac:dyDescent="0.25">
      <c r="A4" s="5" t="s">
        <v>8</v>
      </c>
      <c r="B4" s="5" t="s">
        <v>9</v>
      </c>
      <c r="C4" s="6">
        <v>0.41639999999999999</v>
      </c>
      <c r="D4" s="7">
        <f>((2*12.0107)+(4*1.00794)+(2*15.9994))/24.4650003</f>
        <v>2.4546069594775357</v>
      </c>
      <c r="E4" s="7">
        <f>((2*12.0107)+(4*1.00794)+(2*15.9994))/22.4136</f>
        <v>2.6792643752007708</v>
      </c>
      <c r="F4" s="5" t="s">
        <v>10</v>
      </c>
    </row>
    <row r="5" spans="1:6" x14ac:dyDescent="0.25">
      <c r="A5" s="5" t="s">
        <v>11</v>
      </c>
      <c r="B5" s="5" t="s">
        <v>12</v>
      </c>
      <c r="C5" s="6">
        <v>0.2586</v>
      </c>
      <c r="D5" s="7">
        <f>((4*12.0107)+(6*1.00794)+(3*15.9994))/24.4650003</f>
        <v>4.1728444205251041</v>
      </c>
      <c r="E5" s="7">
        <f>((4*12.0107)+(6*1.00794)+(3*15.9994))/22.4136</f>
        <v>4.5547631794981616</v>
      </c>
      <c r="F5" s="5" t="s">
        <v>13</v>
      </c>
    </row>
    <row r="6" spans="1:6" x14ac:dyDescent="0.25">
      <c r="A6" s="5" t="s">
        <v>14</v>
      </c>
      <c r="B6" s="5" t="s">
        <v>15</v>
      </c>
      <c r="C6" s="6">
        <v>0.35639999999999999</v>
      </c>
      <c r="D6" s="7">
        <f>((3*12.0107)+(6*1.00794)+(1*15.9994))/24.4650003</f>
        <v>2.3739684973557922</v>
      </c>
      <c r="E6" s="7">
        <f>((3*12.0107)+(6*1.00794)+(1*15.9994))/22.4136</f>
        <v>2.5912454938073317</v>
      </c>
      <c r="F6" s="5" t="s">
        <v>16</v>
      </c>
    </row>
    <row r="7" spans="1:6" x14ac:dyDescent="0.25">
      <c r="A7" s="5" t="s">
        <v>17</v>
      </c>
      <c r="B7" s="5" t="s">
        <v>18</v>
      </c>
      <c r="C7" s="6">
        <v>0.51859999999999995</v>
      </c>
      <c r="D7" s="7">
        <f>((2*12.0107)+(3*1.00794)+(1*14.00674))/24.4650003</f>
        <v>1.6779873082609364</v>
      </c>
      <c r="E7" s="7">
        <f>((2*12.0107)+(3*1.00794)+(1*14.00674))/22.4136</f>
        <v>1.8315647642502768</v>
      </c>
      <c r="F7" s="5" t="s">
        <v>19</v>
      </c>
    </row>
    <row r="8" spans="1:6" x14ac:dyDescent="0.25">
      <c r="A8" s="5" t="s">
        <v>20</v>
      </c>
      <c r="B8" s="5" t="s">
        <v>21</v>
      </c>
      <c r="C8" s="6">
        <v>0.62619999999999998</v>
      </c>
      <c r="D8" s="7">
        <f>((2*12.0107)+(2*1.00794))/24.4650003</f>
        <v>1.0642664901173127</v>
      </c>
      <c r="E8" s="7">
        <f>((2*12.0107)+(2*1.00794))/22.4136</f>
        <v>1.1616732698004784</v>
      </c>
      <c r="F8" s="5" t="s">
        <v>22</v>
      </c>
    </row>
    <row r="9" spans="1:6" x14ac:dyDescent="0.25">
      <c r="A9" s="5" t="s">
        <v>23</v>
      </c>
      <c r="B9" s="5" t="s">
        <v>23</v>
      </c>
      <c r="C9" s="6">
        <v>0.998</v>
      </c>
      <c r="D9" s="7">
        <v>1.1850000000000001</v>
      </c>
      <c r="E9" s="7">
        <v>1.2929999999999999</v>
      </c>
      <c r="F9" s="5"/>
    </row>
    <row r="10" spans="1:6" x14ac:dyDescent="0.25">
      <c r="A10" s="5" t="s">
        <v>24</v>
      </c>
      <c r="B10" s="5" t="s">
        <v>25</v>
      </c>
      <c r="C10" s="6">
        <v>0.45219999999999999</v>
      </c>
      <c r="D10" s="7">
        <f>((3*12.0107)+(4*1.00794))/24.4650003</f>
        <v>1.6375989989258246</v>
      </c>
      <c r="E10" s="7">
        <f>((3*12.0107)+(4*1.00794))/22.4136</f>
        <v>1.7874799229039511</v>
      </c>
      <c r="F10" s="5" t="s">
        <v>26</v>
      </c>
    </row>
    <row r="11" spans="1:6" x14ac:dyDescent="0.25">
      <c r="A11" s="5" t="s">
        <v>27</v>
      </c>
      <c r="B11" s="5" t="s">
        <v>28</v>
      </c>
      <c r="C11" s="6">
        <v>0.78100000000000003</v>
      </c>
      <c r="D11" s="7">
        <f>((1*14.00674)+(3*1.00794))/24.4650003</f>
        <v>0.69611934564333533</v>
      </c>
      <c r="E11" s="7">
        <f>((1*14.00674)+(3*1.00794))/22.4136</f>
        <v>0.75983153085626598</v>
      </c>
      <c r="F11" s="5"/>
    </row>
    <row r="12" spans="1:6" x14ac:dyDescent="0.25">
      <c r="A12" s="5" t="s">
        <v>29</v>
      </c>
      <c r="B12" s="5" t="s">
        <v>30</v>
      </c>
      <c r="C12" s="6">
        <v>1.401</v>
      </c>
      <c r="D12" s="7">
        <f>((1*39.948))/24.4650003</f>
        <v>1.6328632540421428</v>
      </c>
      <c r="E12" s="7">
        <f>((1*39.948))/22.4136</f>
        <v>1.7823107399079132</v>
      </c>
      <c r="F12" s="5"/>
    </row>
    <row r="13" spans="1:6" x14ac:dyDescent="0.25">
      <c r="A13" s="5" t="s">
        <v>31</v>
      </c>
      <c r="B13" s="5" t="s">
        <v>32</v>
      </c>
      <c r="C13" s="6">
        <v>0.75919999999999999</v>
      </c>
      <c r="D13" s="7">
        <f>((3*1.00794)+(1*74.9216))/24.4650003</f>
        <v>3.18599709970165</v>
      </c>
      <c r="E13" s="7">
        <f>((3*1.00794)+(1*74.9216))/22.4136</f>
        <v>3.4775948531248884</v>
      </c>
      <c r="F13" s="5"/>
    </row>
    <row r="14" spans="1:6" x14ac:dyDescent="0.25">
      <c r="A14" s="5" t="s">
        <v>33</v>
      </c>
      <c r="B14" s="5" t="s">
        <v>34</v>
      </c>
      <c r="C14" s="6">
        <v>0.30669999999999997</v>
      </c>
      <c r="D14" s="7">
        <f>((6*12.0107)+(6*1.00794))/24.4650003</f>
        <v>3.1927994703519378</v>
      </c>
      <c r="E14" s="7">
        <f>((6*12.0107)+(6*1.00794))/22.4136</f>
        <v>3.4850198094014351</v>
      </c>
      <c r="F14" s="5"/>
    </row>
    <row r="15" spans="1:6" x14ac:dyDescent="0.25">
      <c r="A15" s="5" t="s">
        <v>35</v>
      </c>
      <c r="B15" s="5" t="s">
        <v>36</v>
      </c>
      <c r="C15" s="6">
        <v>0.44259999999999999</v>
      </c>
      <c r="D15" s="7">
        <f>((1*10.811)+(3*35.4527))/24.4650003</f>
        <v>4.7892539776506773</v>
      </c>
      <c r="E15" s="7">
        <f>((1*10.811)+(3*35.4527))/22.4136</f>
        <v>5.22758949923261</v>
      </c>
      <c r="F15" s="8"/>
    </row>
    <row r="16" spans="1:6" x14ac:dyDescent="0.25">
      <c r="A16" s="5" t="s">
        <v>37</v>
      </c>
      <c r="B16" s="5" t="s">
        <v>38</v>
      </c>
      <c r="C16" s="6">
        <v>0.54379999999999995</v>
      </c>
      <c r="D16" s="7">
        <f>((1*10.811)+(3*18.9984032))/24.4650003</f>
        <v>2.7715597289406118</v>
      </c>
      <c r="E16" s="7">
        <f>((1*10.811)+(3*18.9984032))/22.4136</f>
        <v>3.0252261841025088</v>
      </c>
      <c r="F16" s="5"/>
    </row>
    <row r="17" spans="1:6" x14ac:dyDescent="0.25">
      <c r="A17" s="5" t="s">
        <v>39</v>
      </c>
      <c r="B17" s="5" t="s">
        <v>40</v>
      </c>
      <c r="C17" s="6">
        <v>0.80089999999999995</v>
      </c>
      <c r="D17" s="7">
        <f>((2*79.904))/24.4650003</f>
        <v>6.5321070116643325</v>
      </c>
      <c r="E17" s="7">
        <f>((2*79.904))/22.4136</f>
        <v>7.1299568119356103</v>
      </c>
      <c r="F17" s="5"/>
    </row>
    <row r="18" spans="1:6" x14ac:dyDescent="0.25">
      <c r="A18" s="5" t="s">
        <v>41</v>
      </c>
      <c r="B18" s="5" t="s">
        <v>42</v>
      </c>
      <c r="C18" s="6">
        <v>0.36880000000000002</v>
      </c>
      <c r="D18" s="7">
        <f>((1*12.0107)+(1*79.904)+(1*35.4527)+(2*18.9984032))/24.4650003</f>
        <v>6.7592153841093561</v>
      </c>
      <c r="E18" s="7">
        <f>((1*12.0107)+(1*79.904)+(1*35.4527)+(2*18.9984032))/22.4136</f>
        <v>7.3778512331798556</v>
      </c>
      <c r="F18" s="5"/>
    </row>
    <row r="19" spans="1:6" x14ac:dyDescent="0.25">
      <c r="A19" s="5" t="s">
        <v>43</v>
      </c>
      <c r="B19" s="5" t="s">
        <v>44</v>
      </c>
      <c r="C19" s="6">
        <v>0.46510000000000001</v>
      </c>
      <c r="D19" s="7">
        <f>((1*12.0107)+(1*1.00794)+(1*79.904)+(2*18.9984032))/24.4650003</f>
        <v>5.3512955158230673</v>
      </c>
      <c r="E19" s="7">
        <f>((1*12.0107)+(1*1.00794)+(1*79.904)+(2*18.9984032))/22.4136</f>
        <v>5.8410717778491632</v>
      </c>
      <c r="F19" s="5"/>
    </row>
    <row r="20" spans="1:6" x14ac:dyDescent="0.25">
      <c r="A20" s="5" t="s">
        <v>45</v>
      </c>
      <c r="B20" s="5" t="s">
        <v>46</v>
      </c>
      <c r="C20" s="6">
        <v>0.39479999999999998</v>
      </c>
      <c r="D20" s="7">
        <f>((1*12.0107)+(1*79.904)+(3*18.9984032))/24.4650003</f>
        <v>6.0866506345393336</v>
      </c>
      <c r="E20" s="7">
        <f>((1*12.0107)+(1*79.904)+(3*18.9984032))/22.4136</f>
        <v>6.6437301281364887</v>
      </c>
      <c r="F20" s="5"/>
    </row>
    <row r="21" spans="1:6" x14ac:dyDescent="0.25">
      <c r="A21" s="5" t="s">
        <v>47</v>
      </c>
      <c r="B21" s="5" t="s">
        <v>48</v>
      </c>
      <c r="C21" s="6">
        <v>0.26279999999999998</v>
      </c>
      <c r="D21" s="7">
        <f>((4*12.0107)+(10*1.00794))/24.4650003</f>
        <v>2.3757285627337597</v>
      </c>
      <c r="E21" s="7">
        <f>((4*12.0107)+(10*1.00794))/22.4136</f>
        <v>2.5931666488203593</v>
      </c>
      <c r="F21" s="5"/>
    </row>
    <row r="22" spans="1:6" x14ac:dyDescent="0.25">
      <c r="A22" s="5" t="s">
        <v>49</v>
      </c>
      <c r="B22" s="5" t="s">
        <v>50</v>
      </c>
      <c r="C22" s="6">
        <v>0.2412</v>
      </c>
      <c r="D22" s="7">
        <f>((4*12.0107)+(10*1.00794)+(1*15.9994))/24.4650003</f>
        <v>3.0296995336640156</v>
      </c>
      <c r="E22" s="7">
        <f>((4*12.0107)+(10*1.00794)+(1*15.9994))/22.4136</f>
        <v>3.3069921833172717</v>
      </c>
      <c r="F22" s="5" t="s">
        <v>51</v>
      </c>
    </row>
    <row r="23" spans="1:6" x14ac:dyDescent="0.25">
      <c r="A23" s="5" t="s">
        <v>52</v>
      </c>
      <c r="B23" s="5" t="s">
        <v>53</v>
      </c>
      <c r="C23" s="6">
        <v>0.30630000000000002</v>
      </c>
      <c r="D23" s="7">
        <f>((4*12.0107)+(8*1.00794))/24.4650003</f>
        <v>2.2933300352340482</v>
      </c>
      <c r="E23" s="7">
        <f>((4*12.0107)+(8*1.00794))/22.4136</f>
        <v>2.5032266124138913</v>
      </c>
      <c r="F23" s="5" t="s">
        <v>54</v>
      </c>
    </row>
    <row r="24" spans="1:6" x14ac:dyDescent="0.25">
      <c r="A24" s="5" t="s">
        <v>55</v>
      </c>
      <c r="B24" s="5" t="s">
        <v>56</v>
      </c>
      <c r="C24" s="6">
        <v>0.74299999999999999</v>
      </c>
      <c r="D24" s="7">
        <f>((1*12.0107)+(2*15.9994))/24.4650003</f>
        <v>1.7988759231693123</v>
      </c>
      <c r="E24" s="7">
        <f>((1*12.0107)+(2*15.9994))/22.4136</f>
        <v>1.9635176856908307</v>
      </c>
      <c r="F24" s="5"/>
    </row>
    <row r="25" spans="1:6" x14ac:dyDescent="0.25">
      <c r="A25" s="5" t="s">
        <v>57</v>
      </c>
      <c r="B25" s="5" t="s">
        <v>58</v>
      </c>
      <c r="C25" s="6">
        <v>0.61650000000000005</v>
      </c>
      <c r="D25" s="7">
        <f>((1*12.0107)+(2*32.066))/24.4650003</f>
        <v>3.1123114271942196</v>
      </c>
      <c r="E25" s="7">
        <f>((1*12.0107)+(2*32.066))/22.4136</f>
        <v>3.397165114037906</v>
      </c>
      <c r="F25" s="5"/>
    </row>
    <row r="26" spans="1:6" x14ac:dyDescent="0.25">
      <c r="A26" s="5" t="s">
        <v>59</v>
      </c>
      <c r="B26" s="5" t="s">
        <v>60</v>
      </c>
      <c r="C26" s="6">
        <v>1.0013000000000001</v>
      </c>
      <c r="D26" s="7">
        <f>((1*12.0107)+(1*15.9994))/24.4650003</f>
        <v>1.1449049522390564</v>
      </c>
      <c r="E26" s="7">
        <f>((1*12.0107)+(1*15.9994))/22.4136</f>
        <v>1.2496921511939181</v>
      </c>
      <c r="F26" s="5"/>
    </row>
    <row r="27" spans="1:6" x14ac:dyDescent="0.25">
      <c r="A27" s="5" t="s">
        <v>61</v>
      </c>
      <c r="B27" s="5" t="s">
        <v>62</v>
      </c>
      <c r="C27" s="6">
        <v>0.33360000000000001</v>
      </c>
      <c r="D27" s="7">
        <f>((1*12.0107)+(4*35.4527))/24.4650003</f>
        <v>6.2874105094533768</v>
      </c>
      <c r="E27" s="7">
        <f>((1*12.0107)+(4*35.4527))/22.4136</f>
        <v>6.8628645108327095</v>
      </c>
      <c r="F27" s="5" t="s">
        <v>63</v>
      </c>
    </row>
    <row r="28" spans="1:6" x14ac:dyDescent="0.25">
      <c r="A28" s="5" t="s">
        <v>64</v>
      </c>
      <c r="B28" s="5" t="s">
        <v>65</v>
      </c>
      <c r="C28" s="6">
        <v>0.66859999999999997</v>
      </c>
      <c r="D28" s="7">
        <f>((1*12.0107)+(1*15.9994)+(1*32.066))/24.4650003</f>
        <v>2.455593675181766</v>
      </c>
      <c r="E28" s="7">
        <f>((1*12.0107)+(1*15.9994)+(1*32.066))/22.4136</f>
        <v>2.6803413998643686</v>
      </c>
      <c r="F28" s="5" t="s">
        <v>66</v>
      </c>
    </row>
    <row r="29" spans="1:6" x14ac:dyDescent="0.25">
      <c r="A29" s="5" t="s">
        <v>67</v>
      </c>
      <c r="B29" s="5" t="s">
        <v>68</v>
      </c>
      <c r="C29" s="6">
        <v>0.84540000000000004</v>
      </c>
      <c r="D29" s="7">
        <f>((2*35.4527))/24.4650003</f>
        <v>2.8982382640722877</v>
      </c>
      <c r="E29" s="7">
        <f>((2*35.4527))/22.4136</f>
        <v>3.1634989470678518</v>
      </c>
      <c r="F29" s="5"/>
    </row>
    <row r="30" spans="1:6" x14ac:dyDescent="0.25">
      <c r="A30" s="5" t="s">
        <v>69</v>
      </c>
      <c r="B30" s="5" t="s">
        <v>70</v>
      </c>
      <c r="C30" s="6">
        <v>0.4496</v>
      </c>
      <c r="D30" s="7">
        <f>((1*35.4527)+(3*18.9984032))/24.4650003</f>
        <v>3.7787822794345112</v>
      </c>
      <c r="E30" s="7">
        <f>((1*35.4527)+(3*18.9984032))/22.4136</f>
        <v>4.1246345790056038</v>
      </c>
      <c r="F30" s="5"/>
    </row>
    <row r="31" spans="1:6" x14ac:dyDescent="0.25">
      <c r="A31" s="5" t="s">
        <v>71</v>
      </c>
      <c r="B31" s="5" t="s">
        <v>72</v>
      </c>
      <c r="C31" s="6">
        <v>0.26200000000000001</v>
      </c>
      <c r="D31" s="7">
        <f>((6*12.0107)+(5*1.00794)+(1*35.4527))/24.4650003</f>
        <v>4.6007193386382266</v>
      </c>
      <c r="E31" s="7">
        <f>((6*12.0107)+(5*1.00794)+(1*35.4527))/22.4136</f>
        <v>5.0217992647321275</v>
      </c>
      <c r="F31" s="5"/>
    </row>
    <row r="32" spans="1:6" x14ac:dyDescent="0.25">
      <c r="A32" s="5" t="s">
        <v>73</v>
      </c>
      <c r="B32" s="5" t="s">
        <v>74</v>
      </c>
      <c r="C32" s="6">
        <v>0.32219999999999999</v>
      </c>
      <c r="D32" s="7">
        <f>((2*12.0107)+(3*1.00794)+(1*35.4527)+(2*18.9984032))/24.4650003</f>
        <v>4.1076936508355564</v>
      </c>
      <c r="E32" s="7">
        <f>((2*12.0107)+(3*1.00794)+(1*35.4527)+(2*18.9984032))/22.4136</f>
        <v>4.4836494985187567</v>
      </c>
      <c r="F32" s="5" t="s">
        <v>75</v>
      </c>
    </row>
    <row r="33" spans="1:6" x14ac:dyDescent="0.25">
      <c r="A33" s="5" t="s">
        <v>76</v>
      </c>
      <c r="B33" s="5" t="s">
        <v>77</v>
      </c>
      <c r="C33" s="6">
        <v>0.41970000000000002</v>
      </c>
      <c r="D33" s="7">
        <f>((1*12.0107)+(1*1.00794)+(3*35.4527))/24.4650003</f>
        <v>4.8794906411670889</v>
      </c>
      <c r="E33" s="7">
        <f>((1*12.0107)+(1*1.00794)+(3*35.4527))/22.4136</f>
        <v>5.3260850555020172</v>
      </c>
      <c r="F33" s="5" t="s">
        <v>78</v>
      </c>
    </row>
    <row r="34" spans="1:6" x14ac:dyDescent="0.25">
      <c r="A34" s="5" t="s">
        <v>79</v>
      </c>
      <c r="B34" s="5" t="s">
        <v>80</v>
      </c>
      <c r="C34" s="6">
        <v>0.24399999999999999</v>
      </c>
      <c r="D34" s="7">
        <f>((2*12.0107)+(1*35.4527)+(5*18.9984032))/24.4650003</f>
        <v>6.3137590069843572</v>
      </c>
      <c r="E34" s="7">
        <f>((2*12.0107)+(1*35.4527)+(5*18.9984032))/22.4136</f>
        <v>6.8916245493807331</v>
      </c>
      <c r="F34" s="5"/>
    </row>
    <row r="35" spans="1:6" x14ac:dyDescent="0.25">
      <c r="A35" s="5" t="s">
        <v>81</v>
      </c>
      <c r="B35" s="5" t="s">
        <v>82</v>
      </c>
      <c r="C35" s="6">
        <v>0.30869999999999997</v>
      </c>
      <c r="D35" s="7">
        <f>((3*12.0107)+(7*1.00794)+(1*35.4527))/24.4650003</f>
        <v>3.2103159222115356</v>
      </c>
      <c r="E35" s="7">
        <f>((3*12.0107)+(7*1.00794)+(1*35.4527))/22.4136</f>
        <v>3.5041394510475783</v>
      </c>
      <c r="F35" s="5" t="s">
        <v>83</v>
      </c>
    </row>
    <row r="36" spans="1:6" x14ac:dyDescent="0.25">
      <c r="A36" s="5" t="s">
        <v>84</v>
      </c>
      <c r="B36" s="5" t="s">
        <v>53</v>
      </c>
      <c r="C36" s="6">
        <v>0.30099999999999999</v>
      </c>
      <c r="D36" s="7">
        <f>((4*12.0107)+(8*1.00794))/24.4650003</f>
        <v>2.2933300352340482</v>
      </c>
      <c r="E36" s="7">
        <f>((4*12.0107)+(8*1.00794))/22.4136</f>
        <v>2.5032266124138913</v>
      </c>
      <c r="F36" s="5" t="s">
        <v>85</v>
      </c>
    </row>
    <row r="37" spans="1:6" x14ac:dyDescent="0.25">
      <c r="A37" s="5" t="s">
        <v>86</v>
      </c>
      <c r="B37" s="5" t="s">
        <v>87</v>
      </c>
      <c r="C37" s="6">
        <v>0.48170000000000002</v>
      </c>
      <c r="D37" s="7">
        <f>((2*12.0107)+(2*14.00674))/24.4650003</f>
        <v>2.1269110714051371</v>
      </c>
      <c r="E37" s="7">
        <f>((2*12.0107)+(2*14.00674))/22.4136</f>
        <v>2.3215761858871402</v>
      </c>
      <c r="F37" s="5"/>
    </row>
    <row r="38" spans="1:6" x14ac:dyDescent="0.25">
      <c r="A38" s="5" t="s">
        <v>88</v>
      </c>
      <c r="B38" s="5" t="s">
        <v>89</v>
      </c>
      <c r="C38" s="6">
        <v>0.64859999999999995</v>
      </c>
      <c r="D38" s="7">
        <f>((1*35.4527)+(1*12.0107)+(1*14.00674))/24.4650003</f>
        <v>2.5125746677387126</v>
      </c>
      <c r="E38" s="7">
        <f>((1*35.4527)+(1*12.0107)+(1*14.00674))/22.4136</f>
        <v>2.742537566477496</v>
      </c>
      <c r="F38" s="5"/>
    </row>
    <row r="39" spans="1:6" x14ac:dyDescent="0.25">
      <c r="A39" s="5" t="s">
        <v>90</v>
      </c>
      <c r="B39" s="5" t="s">
        <v>53</v>
      </c>
      <c r="C39" s="6">
        <v>0.35730000000000001</v>
      </c>
      <c r="D39" s="7">
        <f>((4*12.0107)+(8*1.00794))/24.4650003</f>
        <v>2.2933300352340482</v>
      </c>
      <c r="E39" s="7">
        <f>((4*12.0107)+(8*1.00794))/22.4136</f>
        <v>2.5032266124138913</v>
      </c>
      <c r="F39" s="5" t="s">
        <v>91</v>
      </c>
    </row>
    <row r="40" spans="1:6" x14ac:dyDescent="0.25">
      <c r="A40" s="5" t="s">
        <v>92</v>
      </c>
      <c r="B40" s="5" t="s">
        <v>93</v>
      </c>
      <c r="C40" s="6">
        <v>0.45750000000000002</v>
      </c>
      <c r="D40" s="7">
        <f>((3*12.0107)+(6*1.00794))/24.4650003</f>
        <v>1.7199975264255363</v>
      </c>
      <c r="E40" s="7">
        <f>((3*12.0107)+(6*1.00794))/22.4136</f>
        <v>1.8774199593104188</v>
      </c>
      <c r="F40" s="5" t="s">
        <v>94</v>
      </c>
    </row>
    <row r="41" spans="1:6" x14ac:dyDescent="0.25">
      <c r="A41" s="5" t="s">
        <v>95</v>
      </c>
      <c r="B41" s="5" t="s">
        <v>96</v>
      </c>
      <c r="C41" s="6">
        <v>1.0003</v>
      </c>
      <c r="D41" s="7">
        <f>(4.032)/24.4650003</f>
        <v>0.16480686493185942</v>
      </c>
      <c r="E41" s="7">
        <f>(4.032)/22.4136</f>
        <v>0.17989078059749439</v>
      </c>
      <c r="F41" s="5" t="s">
        <v>97</v>
      </c>
    </row>
    <row r="42" spans="1:6" x14ac:dyDescent="0.25">
      <c r="A42" s="5" t="s">
        <v>98</v>
      </c>
      <c r="B42" s="5" t="s">
        <v>99</v>
      </c>
      <c r="C42" s="6">
        <v>0.50629999999999997</v>
      </c>
      <c r="D42" s="7">
        <f>((2*10.811)+(6*1.00794))/24.4650003</f>
        <v>1.1309887455836247</v>
      </c>
      <c r="E42" s="7">
        <f>((2*10.811)+(6*1.00794))/22.4136</f>
        <v>1.2345022664810652</v>
      </c>
      <c r="F42" s="5"/>
    </row>
    <row r="43" spans="1:6" x14ac:dyDescent="0.25">
      <c r="A43" s="5" t="s">
        <v>100</v>
      </c>
      <c r="B43" s="5" t="s">
        <v>101</v>
      </c>
      <c r="C43" s="6">
        <v>0.3594</v>
      </c>
      <c r="D43" s="7">
        <f>((1*12.0107)+(2*79.904)+(2*18.9984032))/24.4650003</f>
        <v>8.5761497579053767</v>
      </c>
      <c r="E43" s="7">
        <f>((1*12.0107)+(2*79.904)+(2*18.9984032))/22.4136</f>
        <v>9.3610801656137337</v>
      </c>
      <c r="F43" s="5"/>
    </row>
    <row r="44" spans="1:6" x14ac:dyDescent="0.25">
      <c r="A44" s="5" t="s">
        <v>102</v>
      </c>
      <c r="B44" s="5" t="s">
        <v>103</v>
      </c>
      <c r="C44" s="6">
        <v>0.44869999999999999</v>
      </c>
      <c r="D44" s="7">
        <f>((1*12.0107)+(1*1.00794)+(2*35.4527)+(1*18.9984032))/24.4650003</f>
        <v>4.2069258915970664</v>
      </c>
      <c r="E44" s="7">
        <f>((1*12.0107)+(1*1.00794)+(2*35.4527)+(1*18.9984032))/22.4136</f>
        <v>4.5919639504586502</v>
      </c>
      <c r="F44" s="5" t="s">
        <v>104</v>
      </c>
    </row>
    <row r="45" spans="1:6" x14ac:dyDescent="0.25">
      <c r="A45" s="5" t="s">
        <v>105</v>
      </c>
      <c r="B45" s="5" t="s">
        <v>106</v>
      </c>
      <c r="C45" s="6">
        <v>0.53200000000000003</v>
      </c>
      <c r="D45" s="7">
        <f>((1*12.0107)+(2*1.00794)+(2*35.4527))/24.4650003</f>
        <v>3.4715707728807996</v>
      </c>
      <c r="E45" s="7">
        <f>((1*12.0107)+(2*1.00794)+(2*35.4527))/22.4136</f>
        <v>3.7893056001713243</v>
      </c>
      <c r="F45" s="5" t="s">
        <v>107</v>
      </c>
    </row>
    <row r="46" spans="1:6" x14ac:dyDescent="0.25">
      <c r="A46" s="5" t="s">
        <v>108</v>
      </c>
      <c r="B46" s="5" t="s">
        <v>109</v>
      </c>
      <c r="C46" s="6">
        <v>0.27029999999999998</v>
      </c>
      <c r="D46" s="7">
        <f>((3*12.0107)+(6*1.00794)+(2*35.4527))/24.4650003</f>
        <v>4.618235790497824</v>
      </c>
      <c r="E46" s="7">
        <f>((3*12.0107)+(6*1.00794)+(2*35.4527))/22.4136</f>
        <v>5.0409189063782707</v>
      </c>
      <c r="F46" s="5" t="s">
        <v>110</v>
      </c>
    </row>
    <row r="47" spans="1:6" x14ac:dyDescent="0.25">
      <c r="A47" s="5" t="s">
        <v>111</v>
      </c>
      <c r="B47" s="5" t="s">
        <v>112</v>
      </c>
      <c r="C47" s="6">
        <v>0.47160000000000002</v>
      </c>
      <c r="D47" s="7">
        <f>((2*1.00794)+(1*28.0855)+(2*35.4527))/24.4650003</f>
        <v>4.1286236975848309</v>
      </c>
      <c r="E47" s="7">
        <f>((2*1.00794)+(1*28.0855)+(2*35.4527))/22.4136</f>
        <v>4.5064951636506407</v>
      </c>
      <c r="F47" s="5"/>
    </row>
    <row r="48" spans="1:6" x14ac:dyDescent="0.25">
      <c r="A48" s="5" t="s">
        <v>113</v>
      </c>
      <c r="B48" s="5" t="s">
        <v>114</v>
      </c>
      <c r="C48" s="6">
        <v>0.2261</v>
      </c>
      <c r="D48" s="7">
        <f>((4*12.0107)+(11*1.00794)+(1*14.00674))/24.4650003</f>
        <v>2.989449380877383</v>
      </c>
      <c r="E48" s="7">
        <f>((4*12.0107)+(11*1.00794)+(1*14.00674))/22.4136</f>
        <v>3.2630581432701571</v>
      </c>
      <c r="F48" s="5"/>
    </row>
    <row r="49" spans="1:6" x14ac:dyDescent="0.25">
      <c r="A49" s="5" t="s">
        <v>115</v>
      </c>
      <c r="B49" s="5" t="s">
        <v>50</v>
      </c>
      <c r="C49" s="6">
        <v>0.22389999999999999</v>
      </c>
      <c r="D49" s="7">
        <f>((4*12.0107)+(10*1.00794)+(1*15.9994))/24.4650003</f>
        <v>3.0296995336640156</v>
      </c>
      <c r="E49" s="7">
        <f>((4*12.0107)+(10*1.00794)+(1*15.9994))/22.4136</f>
        <v>3.3069921833172717</v>
      </c>
      <c r="F49" s="5" t="s">
        <v>116</v>
      </c>
    </row>
    <row r="50" spans="1:6" x14ac:dyDescent="0.25">
      <c r="A50" s="5" t="s">
        <v>117</v>
      </c>
      <c r="B50" s="5" t="s">
        <v>118</v>
      </c>
      <c r="C50" s="6">
        <v>0.22600000000000001</v>
      </c>
      <c r="D50" s="7">
        <f>((4*12.0107)+(10*1.00794)+(1*32.066))/24.4650003</f>
        <v>3.6864172856764688</v>
      </c>
      <c r="E50" s="7">
        <f>((4*12.0107)+(10*1.00794)+(1*32.066))/22.4136</f>
        <v>4.0238158974908087</v>
      </c>
      <c r="F50" s="5" t="s">
        <v>119</v>
      </c>
    </row>
    <row r="51" spans="1:6" x14ac:dyDescent="0.25">
      <c r="A51" s="5" t="s">
        <v>120</v>
      </c>
      <c r="B51" s="5" t="s">
        <v>121</v>
      </c>
      <c r="C51" s="6">
        <v>0.4501</v>
      </c>
      <c r="D51" s="7">
        <f>((2*12.0107)+(2*1.00794)+(2*18.9984032))/24.4650003</f>
        <v>2.617375255049557</v>
      </c>
      <c r="E51" s="7">
        <f>((2*12.0107)+(2*1.00794)+(2*18.9984032))/22.4136</f>
        <v>2.8569300067815968</v>
      </c>
      <c r="F51" s="5" t="s">
        <v>122</v>
      </c>
    </row>
    <row r="52" spans="1:6" x14ac:dyDescent="0.25">
      <c r="A52" s="5" t="s">
        <v>123</v>
      </c>
      <c r="B52" s="5" t="s">
        <v>124</v>
      </c>
      <c r="C52" s="6">
        <v>0.37130000000000002</v>
      </c>
      <c r="D52" s="7">
        <f>((2*12.0107)+(7*1.00794)+(1*14.00674))/24.4650003</f>
        <v>1.8427843632603593</v>
      </c>
      <c r="E52" s="7">
        <f>((2*12.0107)+(7*1.00794)+(1*14.00674))/22.4136</f>
        <v>2.0114448370632116</v>
      </c>
      <c r="F52" s="5" t="s">
        <v>125</v>
      </c>
    </row>
    <row r="53" spans="1:6" x14ac:dyDescent="0.25">
      <c r="A53" s="5" t="s">
        <v>126</v>
      </c>
      <c r="B53" s="5" t="s">
        <v>127</v>
      </c>
      <c r="C53" s="6">
        <v>0.40949999999999998</v>
      </c>
      <c r="D53" s="7">
        <f>((2*12.0107)+(6*1.00794)+(1*15.9994))/24.4650003</f>
        <v>1.8830345160469915</v>
      </c>
      <c r="E53" s="7">
        <f>((2*12.0107)+(6*1.00794)+(1*15.9994))/22.4136</f>
        <v>2.0553788771103263</v>
      </c>
      <c r="F53" s="5" t="s">
        <v>128</v>
      </c>
    </row>
    <row r="54" spans="1:6" x14ac:dyDescent="0.25">
      <c r="A54" s="5" t="s">
        <v>129</v>
      </c>
      <c r="B54" s="5" t="s">
        <v>130</v>
      </c>
      <c r="C54" s="6">
        <v>0.3629</v>
      </c>
      <c r="D54" s="7">
        <f>((2*12.0107)+(6*1.00794)+(1*32.066))/24.4650003</f>
        <v>2.5397522680594449</v>
      </c>
      <c r="E54" s="7">
        <f>((2*12.0107)+(6*1.00794)+(1*32.066))/22.4136</f>
        <v>2.7722025912838637</v>
      </c>
      <c r="F54" s="5" t="s">
        <v>131</v>
      </c>
    </row>
    <row r="55" spans="1:6" x14ac:dyDescent="0.25">
      <c r="A55" s="5" t="s">
        <v>132</v>
      </c>
      <c r="B55" s="5" t="s">
        <v>133</v>
      </c>
      <c r="C55" s="6">
        <v>0.3256</v>
      </c>
      <c r="D55" s="7">
        <f>((4*12.0107)+(6*1.00794))/24.4650003</f>
        <v>2.2109315077343368</v>
      </c>
      <c r="E55" s="7">
        <f>((4*12.0107)+(6*1.00794))/22.4136</f>
        <v>2.4132865760074242</v>
      </c>
      <c r="F55" s="5" t="s">
        <v>134</v>
      </c>
    </row>
    <row r="56" spans="1:6" x14ac:dyDescent="0.25">
      <c r="A56" s="5" t="s">
        <v>135</v>
      </c>
      <c r="B56" s="5" t="s">
        <v>136</v>
      </c>
      <c r="C56" s="6">
        <v>0.48199999999999998</v>
      </c>
      <c r="D56" s="7">
        <f>((2*12.0107)+(6*1.00794))/24.4650003</f>
        <v>1.2290635451167355</v>
      </c>
      <c r="E56" s="7">
        <f>((2*12.0107)+(6*1.00794))/22.4136</f>
        <v>1.3415533426134134</v>
      </c>
      <c r="F56" s="5"/>
    </row>
    <row r="57" spans="1:6" ht="24" customHeight="1" x14ac:dyDescent="0.25">
      <c r="A57" s="5" t="s">
        <v>137</v>
      </c>
      <c r="B57" s="5" t="s">
        <v>138</v>
      </c>
      <c r="C57" s="6">
        <v>0.26889999999999997</v>
      </c>
      <c r="D57" s="7">
        <f>((2*12.0107)+(1*1.00794)+(1*35.4527)+(4*18.9984032))/24.4650003</f>
        <v>5.57840388826809</v>
      </c>
      <c r="E57" s="7">
        <f>((2*12.0107)+(1*1.00794)+(1*35.4527)+(4*18.9984032))/22.4136</f>
        <v>6.0889661990934068</v>
      </c>
      <c r="F57" s="9" t="s">
        <v>139</v>
      </c>
    </row>
    <row r="58" spans="1:6" x14ac:dyDescent="0.25">
      <c r="A58" s="5" t="s">
        <v>140</v>
      </c>
      <c r="B58" s="5" t="s">
        <v>138</v>
      </c>
      <c r="C58" s="6">
        <v>0.27229999999999999</v>
      </c>
      <c r="D58" s="7">
        <f>((2*12.0107)+(1*1.00794)+(1*35.4527)+(4*18.9984032))/24.4650003</f>
        <v>5.57840388826809</v>
      </c>
      <c r="E58" s="7">
        <f>((2*12.0107)+(1*1.00794)+(1*35.4527)+(4*18.9984032))/22.4136</f>
        <v>6.0889661990934068</v>
      </c>
      <c r="F58" s="5" t="s">
        <v>141</v>
      </c>
    </row>
    <row r="59" spans="1:6" x14ac:dyDescent="0.25">
      <c r="A59" s="5" t="s">
        <v>142</v>
      </c>
      <c r="B59" s="5" t="s">
        <v>127</v>
      </c>
      <c r="C59" s="6">
        <v>0.40550000000000003</v>
      </c>
      <c r="D59" s="7">
        <f>((2*12.0107)+(6*1.00794)+(1*15.9994))/24.4650003</f>
        <v>1.8830345160469915</v>
      </c>
      <c r="E59" s="7">
        <f>((2*12.0107)+(6*1.00794)+(1*15.9994))/22.4136</f>
        <v>2.0553788771103263</v>
      </c>
      <c r="F59" s="5" t="s">
        <v>143</v>
      </c>
    </row>
    <row r="60" spans="1:6" x14ac:dyDescent="0.25">
      <c r="A60" s="5" t="s">
        <v>144</v>
      </c>
      <c r="B60" s="5" t="s">
        <v>133</v>
      </c>
      <c r="C60" s="6">
        <v>0.32629999999999998</v>
      </c>
      <c r="D60" s="7">
        <f>((4*12.0107)+(6*1.00794))/24.4650003</f>
        <v>2.2109315077343368</v>
      </c>
      <c r="E60" s="7">
        <f>((4*12.0107)+(6*1.00794))/22.4136</f>
        <v>2.4132865760074242</v>
      </c>
      <c r="F60" s="5" t="s">
        <v>145</v>
      </c>
    </row>
    <row r="61" spans="1:6" x14ac:dyDescent="0.25">
      <c r="A61" s="5" t="s">
        <v>146</v>
      </c>
      <c r="B61" s="5" t="s">
        <v>124</v>
      </c>
      <c r="C61" s="6">
        <v>0.37019999999999997</v>
      </c>
      <c r="D61" s="7">
        <f>((2*12.0107)+(7*1.00794)+(1*14.00674))/24.4650003</f>
        <v>1.8427843632603593</v>
      </c>
      <c r="E61" s="7">
        <f>((2*12.0107)+(7*1.00794)+(1*14.00674))/22.4136</f>
        <v>2.0114448370632116</v>
      </c>
      <c r="F61" s="5" t="s">
        <v>147</v>
      </c>
    </row>
    <row r="62" spans="1:6" x14ac:dyDescent="0.25">
      <c r="A62" s="5" t="s">
        <v>148</v>
      </c>
      <c r="B62" s="5" t="s">
        <v>149</v>
      </c>
      <c r="C62" s="6">
        <v>0.20069999999999999</v>
      </c>
      <c r="D62" s="7">
        <f>((8*12.0107)+(10*1.00794))/24.4650003</f>
        <v>4.3394644879689617</v>
      </c>
      <c r="E62" s="7">
        <f>((8*12.0107)+(10*1.00794))/22.4136</f>
        <v>4.7366331156083801</v>
      </c>
      <c r="F62" s="5" t="s">
        <v>145</v>
      </c>
    </row>
    <row r="63" spans="1:6" x14ac:dyDescent="0.25">
      <c r="A63" s="5" t="s">
        <v>150</v>
      </c>
      <c r="B63" s="5" t="s">
        <v>151</v>
      </c>
      <c r="C63" s="6">
        <v>0.41320000000000001</v>
      </c>
      <c r="D63" s="7">
        <f>((2*12.0107)+(5*1.00794)+(1*79.904))/24.4650003</f>
        <v>4.4539177871990461</v>
      </c>
      <c r="E63" s="7">
        <f>((2*12.0107)+(5*1.00794)+(1*79.904))/22.4136</f>
        <v>4.8615617303779848</v>
      </c>
      <c r="F63" s="5"/>
    </row>
    <row r="64" spans="1:6" x14ac:dyDescent="0.25">
      <c r="A64" s="5" t="s">
        <v>152</v>
      </c>
      <c r="B64" s="5" t="s">
        <v>153</v>
      </c>
      <c r="C64" s="6">
        <v>0.42199999999999999</v>
      </c>
      <c r="D64" s="7">
        <f>((2*12.0107)+(5*1.00794)+(1*35.4527))/24.4650003</f>
        <v>2.6369834134030241</v>
      </c>
      <c r="E64" s="7">
        <f>((2*12.0107)+(5*1.00794)+(1*35.4527))/22.4136</f>
        <v>2.8783327979441058</v>
      </c>
      <c r="F64" s="5" t="s">
        <v>154</v>
      </c>
    </row>
    <row r="65" spans="1:6" x14ac:dyDescent="0.25">
      <c r="A65" s="5" t="s">
        <v>155</v>
      </c>
      <c r="B65" s="5" t="s">
        <v>156</v>
      </c>
      <c r="C65" s="6">
        <v>0.44390000000000002</v>
      </c>
      <c r="D65" s="7">
        <f>((2*12.0107)+(5*1.00794)+(1*18.9984032))/24.4650003</f>
        <v>1.9644186638330021</v>
      </c>
      <c r="E65" s="7">
        <f>((2*12.0107)+(5*1.00794)+(1*18.9984032))/22.4136</f>
        <v>2.1442116929007389</v>
      </c>
      <c r="F65" s="5" t="s">
        <v>157</v>
      </c>
    </row>
    <row r="66" spans="1:6" x14ac:dyDescent="0.25">
      <c r="A66" s="5" t="s">
        <v>158</v>
      </c>
      <c r="B66" s="5" t="s">
        <v>159</v>
      </c>
      <c r="C66" s="6">
        <v>0.60399999999999998</v>
      </c>
      <c r="D66" s="7">
        <f>((2*12.0107)+(4*1.00794))/24.4650003</f>
        <v>1.1466650176170241</v>
      </c>
      <c r="E66" s="7">
        <f>((2*12.0107)+(4*1.00794))/22.4136</f>
        <v>1.2516133062069457</v>
      </c>
      <c r="F66" s="5" t="s">
        <v>160</v>
      </c>
    </row>
    <row r="67" spans="1:6" x14ac:dyDescent="0.25">
      <c r="A67" s="5" t="s">
        <v>161</v>
      </c>
      <c r="B67" s="5" t="s">
        <v>162</v>
      </c>
      <c r="C67" s="6">
        <v>0.31780000000000003</v>
      </c>
      <c r="D67" s="7">
        <f>((2*12.0107)+(4*1.00794)+(2*79.904))/24.4650003</f>
        <v>7.6787720292813564</v>
      </c>
      <c r="E67" s="7">
        <f>((2*12.0107)+(4*1.00794)+(2*79.904))/22.4136</f>
        <v>8.3815701181425553</v>
      </c>
      <c r="F67" s="5" t="s">
        <v>163</v>
      </c>
    </row>
    <row r="68" spans="1:6" x14ac:dyDescent="0.25">
      <c r="A68" s="5" t="s">
        <v>164</v>
      </c>
      <c r="B68" s="5" t="s">
        <v>165</v>
      </c>
      <c r="C68" s="6">
        <v>0.34810000000000002</v>
      </c>
      <c r="D68" s="7">
        <f>((2*12.0107)+(4*1.00794)+(2*35.4527))/24.4650003</f>
        <v>4.0449032816893125</v>
      </c>
      <c r="E68" s="7">
        <f>((2*12.0107)+(4*1.00794)+(2*35.4527))/22.4136</f>
        <v>4.4151122532747982</v>
      </c>
      <c r="F68" s="5" t="s">
        <v>166</v>
      </c>
    </row>
    <row r="69" spans="1:6" x14ac:dyDescent="0.25">
      <c r="A69" s="5" t="s">
        <v>167</v>
      </c>
      <c r="B69" s="5" t="s">
        <v>168</v>
      </c>
      <c r="C69" s="6">
        <v>0.53220000000000001</v>
      </c>
      <c r="D69" s="7">
        <f>((2*12.0107)+(4*1.00794)+(1*15.9994))/24.4650003</f>
        <v>1.80063598854728</v>
      </c>
      <c r="E69" s="7">
        <f>((2*12.0107)+(4*1.00794)+(1*15.9994))/22.4136</f>
        <v>1.9654388407038585</v>
      </c>
      <c r="F69" s="5" t="s">
        <v>169</v>
      </c>
    </row>
    <row r="70" spans="1:6" x14ac:dyDescent="0.25">
      <c r="A70" s="5" t="s">
        <v>170</v>
      </c>
      <c r="B70" s="5" t="s">
        <v>171</v>
      </c>
      <c r="C70" s="6">
        <v>0.48039999999999999</v>
      </c>
      <c r="D70" s="7">
        <f>((2*12.0107)+(4*1.00794)+(1*14.00674))/24.4650003</f>
        <v>1.7191865720107919</v>
      </c>
      <c r="E70" s="7">
        <f>((2*12.0107)+(4*1.00794)+(1*14.00674))/22.4136</f>
        <v>1.8765347824535104</v>
      </c>
      <c r="F70" s="5" t="s">
        <v>172</v>
      </c>
    </row>
    <row r="71" spans="1:6" x14ac:dyDescent="0.25">
      <c r="A71" s="5" t="s">
        <v>173</v>
      </c>
      <c r="B71" s="5" t="s">
        <v>165</v>
      </c>
      <c r="C71" s="6">
        <v>0.35120000000000001</v>
      </c>
      <c r="D71" s="7">
        <f>((2*12.0107)+(4*1.00794)+(2*35.4527))/24.4650003</f>
        <v>4.0449032816893125</v>
      </c>
      <c r="E71" s="7">
        <f>((2*12.0107)+(4*1.00794)+(2*35.4527))/22.4136</f>
        <v>4.4151122532747982</v>
      </c>
      <c r="F71" s="5" t="s">
        <v>174</v>
      </c>
    </row>
    <row r="72" spans="1:6" x14ac:dyDescent="0.25">
      <c r="A72" s="5" t="s">
        <v>175</v>
      </c>
      <c r="B72" s="5" t="s">
        <v>130</v>
      </c>
      <c r="C72" s="6">
        <v>0.36599999999999999</v>
      </c>
      <c r="D72" s="7">
        <f>((2*12.0107)+(6*1.00794)+(1*32.066))/24.4650003</f>
        <v>2.5397522680594449</v>
      </c>
      <c r="E72" s="7">
        <f>((2*12.0107)+(6*1.00794)+(1*32.066))/22.4136</f>
        <v>2.7722025912838637</v>
      </c>
      <c r="F72" s="5" t="s">
        <v>176</v>
      </c>
    </row>
    <row r="73" spans="1:6" x14ac:dyDescent="0.25">
      <c r="A73" s="5" t="s">
        <v>177</v>
      </c>
      <c r="B73" s="5" t="s">
        <v>178</v>
      </c>
      <c r="C73" s="6">
        <v>0.91190000000000004</v>
      </c>
      <c r="D73" s="7">
        <f>((2*18.9984032))/24.4650003</f>
        <v>1.5531087649322448</v>
      </c>
      <c r="E73" s="7">
        <f>((2*18.9984032))/22.4136</f>
        <v>1.6952567369811185</v>
      </c>
      <c r="F73" s="5"/>
    </row>
    <row r="74" spans="1:6" x14ac:dyDescent="0.25">
      <c r="A74" s="5" t="s">
        <v>179</v>
      </c>
      <c r="B74" s="5" t="s">
        <v>180</v>
      </c>
      <c r="C74" s="6">
        <v>0.79210000000000003</v>
      </c>
      <c r="D74" s="7">
        <f>((1*12.0107)+(2*1.00794)+(1*15.9994))/24.4650003</f>
        <v>1.2273034797387679</v>
      </c>
      <c r="E74" s="7">
        <f>((1*12.0107)+(2*1.00794)+(1*15.9994))/22.4136</f>
        <v>1.3396321876003854</v>
      </c>
      <c r="F74" s="5"/>
    </row>
    <row r="75" spans="1:6" x14ac:dyDescent="0.25">
      <c r="A75" s="5" t="s">
        <v>181</v>
      </c>
      <c r="B75" s="5" t="s">
        <v>182</v>
      </c>
      <c r="C75" s="6">
        <v>0.35389999999999999</v>
      </c>
      <c r="D75" s="7">
        <f>((1*12.0107)+(3*35.4527)+(1*18.9984032))/24.4650003</f>
        <v>5.6148457598833552</v>
      </c>
      <c r="E75" s="7">
        <f>((1*12.0107)+(3*35.4527)+(1*18.9984032))/22.4136</f>
        <v>6.1287434057893426</v>
      </c>
      <c r="F75" s="5" t="s">
        <v>183</v>
      </c>
    </row>
    <row r="76" spans="1:6" x14ac:dyDescent="0.25">
      <c r="A76" s="5" t="s">
        <v>184</v>
      </c>
      <c r="B76" s="5" t="s">
        <v>185</v>
      </c>
      <c r="C76" s="6">
        <v>0.37159999999999999</v>
      </c>
      <c r="D76" s="7">
        <f>((1*12.0107)+(2*35.4527)+(2*18.9984032))/24.4650003</f>
        <v>4.9422810103133328</v>
      </c>
      <c r="E76" s="7">
        <f>((1*12.0107)+(2*35.4527)+(2*18.9984032))/22.4136</f>
        <v>5.3946223007459757</v>
      </c>
      <c r="F76" s="5" t="s">
        <v>186</v>
      </c>
    </row>
    <row r="77" spans="1:6" x14ac:dyDescent="0.25">
      <c r="A77" s="5" t="s">
        <v>187</v>
      </c>
      <c r="B77" s="5" t="s">
        <v>188</v>
      </c>
      <c r="C77" s="6">
        <v>0.37959999999999999</v>
      </c>
      <c r="D77" s="7">
        <f>((1*12.0107)+(1*35.4527)+(3*18.9984032))/24.4650003</f>
        <v>4.2697162607433112</v>
      </c>
      <c r="E77" s="7">
        <f>((1*12.0107)+(1*35.4527)+(3*18.9984032))/22.4136</f>
        <v>4.6605011957026088</v>
      </c>
      <c r="F77" s="5" t="s">
        <v>189</v>
      </c>
    </row>
    <row r="78" spans="1:6" x14ac:dyDescent="0.25">
      <c r="A78" s="5" t="s">
        <v>190</v>
      </c>
      <c r="B78" s="5" t="s">
        <v>191</v>
      </c>
      <c r="C78" s="6">
        <v>0.443</v>
      </c>
      <c r="D78" s="7">
        <f>((1*12.0107)+(4*18.9984032))/24.4650003</f>
        <v>3.5971515111732901</v>
      </c>
      <c r="E78" s="7">
        <f>((1*12.0107)+(4*18.9984032))/22.4136</f>
        <v>3.9263800906592423</v>
      </c>
      <c r="F78" s="5" t="s">
        <v>192</v>
      </c>
    </row>
    <row r="79" spans="1:6" x14ac:dyDescent="0.25">
      <c r="A79" s="5" t="s">
        <v>193</v>
      </c>
      <c r="B79" s="5" t="s">
        <v>194</v>
      </c>
      <c r="C79" s="6">
        <v>0.48649999999999999</v>
      </c>
      <c r="D79" s="7">
        <f>((1*12.0107)+(1*1.00794)+(1*35.4527)+(2*18.9984032))/24.4650003</f>
        <v>3.5343611420270449</v>
      </c>
      <c r="E79" s="7">
        <f>((1*12.0107)+(1*1.00794)+(1*35.4527)+(2*18.9984032))/22.4136</f>
        <v>3.8578428454152833</v>
      </c>
      <c r="F79" s="5" t="s">
        <v>195</v>
      </c>
    </row>
    <row r="80" spans="1:6" x14ac:dyDescent="0.25">
      <c r="A80" s="5" t="s">
        <v>196</v>
      </c>
      <c r="B80" s="5" t="s">
        <v>197</v>
      </c>
      <c r="C80" s="6">
        <v>0.52910000000000001</v>
      </c>
      <c r="D80" s="7">
        <f>((1*12.0107)+(1*1.00794)+(3*18.9984032))/24.4650003</f>
        <v>2.8617963924570238</v>
      </c>
      <c r="E80" s="7">
        <f>((1*12.0107)+(1*1.00794)+(3*18.9984032))/22.4136</f>
        <v>3.1237217403719173</v>
      </c>
      <c r="F80" s="5" t="s">
        <v>198</v>
      </c>
    </row>
    <row r="81" spans="1:6" x14ac:dyDescent="0.25">
      <c r="A81" s="5" t="s">
        <v>199</v>
      </c>
      <c r="B81" s="5" t="s">
        <v>200</v>
      </c>
      <c r="C81" s="6">
        <v>0.23300000000000001</v>
      </c>
      <c r="D81" s="7">
        <f>((2*12.0107)+(2*35.4527)+(4*18.9984032))/24.4650003</f>
        <v>6.9863237565543788</v>
      </c>
      <c r="E81" s="7">
        <f>((2*12.0107)+(2*35.4527)+(4*18.9984032))/22.4136</f>
        <v>7.6257456544241</v>
      </c>
      <c r="F81" s="5" t="s">
        <v>201</v>
      </c>
    </row>
    <row r="82" spans="1:6" x14ac:dyDescent="0.25">
      <c r="A82" s="5" t="s">
        <v>202</v>
      </c>
      <c r="B82" s="5" t="s">
        <v>203</v>
      </c>
      <c r="C82" s="6">
        <v>0.3901</v>
      </c>
      <c r="D82" s="7">
        <f>((4*12.0107)+(4*1.00794)+(1*15.9994))/24.4650003</f>
        <v>2.7825039511648813</v>
      </c>
      <c r="E82" s="7">
        <f>((4*12.0107)+(4*1.00794)+(1*15.9994))/22.4136</f>
        <v>3.0371720740978692</v>
      </c>
      <c r="F82" s="5" t="s">
        <v>204</v>
      </c>
    </row>
    <row r="83" spans="1:6" x14ac:dyDescent="0.25">
      <c r="A83" s="5" t="s">
        <v>205</v>
      </c>
      <c r="B83" s="5" t="s">
        <v>206</v>
      </c>
      <c r="C83" s="6">
        <v>1.4019999999999999</v>
      </c>
      <c r="D83" s="7">
        <f>((1*4.002602))/24.4650003</f>
        <v>0.16360522995783491</v>
      </c>
      <c r="E83" s="7">
        <f>((1*4.002602))/22.4136</f>
        <v>0.17857916622050901</v>
      </c>
      <c r="F83" s="5"/>
    </row>
    <row r="84" spans="1:6" x14ac:dyDescent="0.25">
      <c r="A84" s="5" t="s">
        <v>207</v>
      </c>
      <c r="B84" s="5" t="s">
        <v>208</v>
      </c>
      <c r="C84" s="6">
        <v>0.19900000000000001</v>
      </c>
      <c r="D84" s="7">
        <f>((3*12.0107)+(1*1.00794)+(7*18.9984032))/24.4650003</f>
        <v>6.9498818849391144</v>
      </c>
      <c r="E84" s="7">
        <f>((3*12.0107)+(1*1.00794)+(7*18.9984032))/22.4136</f>
        <v>7.5859684477281659</v>
      </c>
      <c r="F84" s="5" t="s">
        <v>209</v>
      </c>
    </row>
    <row r="85" spans="1:6" x14ac:dyDescent="0.25">
      <c r="A85" s="5" t="s">
        <v>210</v>
      </c>
      <c r="B85" s="5" t="s">
        <v>211</v>
      </c>
      <c r="C85" s="6">
        <v>0.12239999999999999</v>
      </c>
      <c r="D85" s="7">
        <f>((6*12.0107)+(19*1.00794)+(1*14.00674)+(2*28.0855))/24.4650003</f>
        <v>6.5968852655194938</v>
      </c>
      <c r="E85" s="7">
        <f>((6*12.0107)+(19*1.00794)+(1*14.00674)+(2*28.0855))/22.4136</f>
        <v>7.2006638826426812</v>
      </c>
      <c r="F85" s="5" t="s">
        <v>212</v>
      </c>
    </row>
    <row r="86" spans="1:6" x14ac:dyDescent="0.25">
      <c r="A86" s="5" t="s">
        <v>213</v>
      </c>
      <c r="B86" s="5" t="s">
        <v>214</v>
      </c>
      <c r="C86" s="6">
        <v>0.12239999999999999</v>
      </c>
      <c r="D86" s="7">
        <f>((6*12.0107)+(18*1.00794)+(1*15.9994)+(2*28.0855))/24.4650003</f>
        <v>6.6371354183061264</v>
      </c>
      <c r="E86" s="7">
        <f>((6*12.0107)+(18*1.00794)+(1*15.9994)+(2*28.0855))/22.4136</f>
        <v>7.2445979226897963</v>
      </c>
      <c r="F86" s="5"/>
    </row>
    <row r="87" spans="1:6" x14ac:dyDescent="0.25">
      <c r="A87" s="5" t="s">
        <v>215</v>
      </c>
      <c r="B87" s="5" t="s">
        <v>216</v>
      </c>
      <c r="C87" s="6">
        <v>0.1832</v>
      </c>
      <c r="D87" s="7">
        <f>((6*12.0107)+(14*1.00794))/24.4650003</f>
        <v>3.5223935803507835</v>
      </c>
      <c r="E87" s="7">
        <f>((6*12.0107)+(14*1.00794))/22.4136</f>
        <v>3.8447799550273047</v>
      </c>
      <c r="F87" s="5"/>
    </row>
    <row r="88" spans="1:6" x14ac:dyDescent="0.25">
      <c r="A88" s="5" t="s">
        <v>217</v>
      </c>
      <c r="B88" s="5" t="s">
        <v>218</v>
      </c>
      <c r="C88" s="6">
        <v>0.1736</v>
      </c>
      <c r="D88" s="7">
        <f>((6*12.0107)+(6*18.9984032))/24.4650003</f>
        <v>7.6049301826495377</v>
      </c>
      <c r="E88" s="7">
        <f>((6*12.0107)+(6*18.9984032))/22.4136</f>
        <v>8.3009699111253887</v>
      </c>
      <c r="F88" s="5" t="s">
        <v>219</v>
      </c>
    </row>
    <row r="89" spans="1:6" x14ac:dyDescent="0.25">
      <c r="A89" s="5" t="s">
        <v>220</v>
      </c>
      <c r="B89" s="5" t="s">
        <v>221</v>
      </c>
      <c r="C89" s="5">
        <v>0.19220000000000001</v>
      </c>
      <c r="D89" s="7">
        <f>((6*12.0107)+(12*1.00794))/24.4650003</f>
        <v>3.4399950528510725</v>
      </c>
      <c r="E89" s="7">
        <f>((6*12.0107)+(12*1.00794))/22.4136</f>
        <v>3.7548399186208377</v>
      </c>
      <c r="F89" s="5" t="s">
        <v>222</v>
      </c>
    </row>
    <row r="90" spans="1:6" x14ac:dyDescent="0.25">
      <c r="A90" s="5" t="s">
        <v>223</v>
      </c>
      <c r="B90" s="5" t="s">
        <v>224</v>
      </c>
      <c r="C90" s="6">
        <v>0.55149999999999999</v>
      </c>
      <c r="D90" s="7">
        <f>((2*14.00674)+(4*1.00794))/24.4650003</f>
        <v>1.309840163786959</v>
      </c>
      <c r="E90" s="7">
        <f>((2*14.00674)+(4*1.00794))/22.4136</f>
        <v>1.4297230253060642</v>
      </c>
      <c r="F90" s="5"/>
    </row>
    <row r="91" spans="1:6" x14ac:dyDescent="0.25">
      <c r="A91" s="5" t="s">
        <v>225</v>
      </c>
      <c r="B91" s="5" t="s">
        <v>226</v>
      </c>
      <c r="C91" s="6">
        <v>1.0089999999999999</v>
      </c>
      <c r="D91" s="7">
        <f>((2*1.00794))/24.4650003</f>
        <v>8.2398527499711507E-2</v>
      </c>
      <c r="E91" s="7">
        <f>((2*1.00794))/22.4136</f>
        <v>8.9940036406467513E-2</v>
      </c>
      <c r="F91" s="5"/>
    </row>
    <row r="92" spans="1:6" x14ac:dyDescent="0.25">
      <c r="A92" s="5" t="s">
        <v>227</v>
      </c>
      <c r="B92" s="5" t="s">
        <v>228</v>
      </c>
      <c r="C92" s="6">
        <v>1.0027999999999999</v>
      </c>
      <c r="D92" s="7">
        <f>((1*1.00794)+(1*79.904))/24.4650003</f>
        <v>3.3072527695820222</v>
      </c>
      <c r="E92" s="7">
        <f>((1*1.00794)+(1*79.904))/22.4136</f>
        <v>3.6099484241710393</v>
      </c>
      <c r="F92" s="5"/>
    </row>
    <row r="93" spans="1:6" x14ac:dyDescent="0.25">
      <c r="A93" s="5" t="s">
        <v>229</v>
      </c>
      <c r="B93" s="5" t="s">
        <v>230</v>
      </c>
      <c r="C93" s="6">
        <v>1.0034000000000001</v>
      </c>
      <c r="D93" s="7">
        <f>((1*1.00794)+(1*35.4527))/24.4650003</f>
        <v>1.4903183957859996</v>
      </c>
      <c r="E93" s="7">
        <f>((1*1.00794)+(1*35.4527))/22.4136</f>
        <v>1.6267194917371595</v>
      </c>
      <c r="F93" s="5"/>
    </row>
    <row r="94" spans="1:6" x14ac:dyDescent="0.25">
      <c r="A94" s="5" t="s">
        <v>231</v>
      </c>
      <c r="B94" s="5" t="s">
        <v>232</v>
      </c>
      <c r="C94" s="6">
        <v>0.77780000000000005</v>
      </c>
      <c r="D94" s="7">
        <f>((1*12.0107)+(1*1.00794)+(1*14.00674))/24.4650003</f>
        <v>1.1046547994524243</v>
      </c>
      <c r="E94" s="7">
        <f>((1*12.0107)+(1*1.00794)+(1*14.00674))/22.4136</f>
        <v>1.2057581111468036</v>
      </c>
      <c r="F94" s="5" t="s">
        <v>233</v>
      </c>
    </row>
    <row r="95" spans="1:6" x14ac:dyDescent="0.25">
      <c r="A95" s="5" t="s">
        <v>234</v>
      </c>
      <c r="B95" s="5" t="s">
        <v>235</v>
      </c>
      <c r="C95" s="6">
        <v>1.0039</v>
      </c>
      <c r="D95" s="7">
        <f>((1*1.00794)+(1*18.9984032))/24.4650003</f>
        <v>0.81775364621597812</v>
      </c>
      <c r="E95" s="7">
        <f>((1*1.00794)+(1*18.9984032))/22.4136</f>
        <v>0.8925983866937931</v>
      </c>
      <c r="F95" s="5"/>
    </row>
    <row r="96" spans="1:6" x14ac:dyDescent="0.25">
      <c r="A96" s="5" t="s">
        <v>236</v>
      </c>
      <c r="B96" s="5" t="s">
        <v>237</v>
      </c>
      <c r="C96" s="6">
        <v>0.99970000000000003</v>
      </c>
      <c r="D96" s="7">
        <f>((1*1.00794)+(1*126.90447))/24.4650003</f>
        <v>5.2283837494986667</v>
      </c>
      <c r="E96" s="7">
        <f>((1*1.00794)+(1*126.90447))/22.4136</f>
        <v>5.7069105364600068</v>
      </c>
      <c r="F96" s="5"/>
    </row>
    <row r="97" spans="1:6" x14ac:dyDescent="0.25">
      <c r="A97" s="5" t="s">
        <v>238</v>
      </c>
      <c r="B97" s="5" t="s">
        <v>239</v>
      </c>
      <c r="C97" s="6">
        <v>0.84119999999999995</v>
      </c>
      <c r="D97" s="7">
        <f>((2*1.00107)+(1*78.96))/24.4650003</f>
        <v>3.3093046804499728</v>
      </c>
      <c r="E97" s="7">
        <f>((2*1.00107)+(1*78.96))/22.4136</f>
        <v>3.6121881357747081</v>
      </c>
      <c r="F97" s="5"/>
    </row>
    <row r="98" spans="1:6" x14ac:dyDescent="0.25">
      <c r="A98" s="5" t="s">
        <v>240</v>
      </c>
      <c r="B98" s="5" t="s">
        <v>241</v>
      </c>
      <c r="C98" s="6">
        <v>0.84230000000000005</v>
      </c>
      <c r="D98" s="7">
        <f>((2*1.00794)+(1*32.066))/24.4650003</f>
        <v>1.393087250442421</v>
      </c>
      <c r="E98" s="7">
        <f>((2*1.00794)+(1*32.066))/22.4136</f>
        <v>1.5205892850769178</v>
      </c>
      <c r="F98" s="5"/>
    </row>
    <row r="99" spans="1:6" x14ac:dyDescent="0.25">
      <c r="A99" s="5" t="s">
        <v>242</v>
      </c>
      <c r="B99" s="5" t="s">
        <v>48</v>
      </c>
      <c r="C99" s="6">
        <v>0.27300000000000002</v>
      </c>
      <c r="D99" s="7">
        <f>((4*12.0107)+(10*1.00794))/24.4650003</f>
        <v>2.3757285627337597</v>
      </c>
      <c r="E99" s="7">
        <f>((4*12.0107)+(10*1.00794))/22.4136</f>
        <v>2.5931666488203593</v>
      </c>
      <c r="F99" s="5" t="s">
        <v>243</v>
      </c>
    </row>
    <row r="100" spans="1:6" x14ac:dyDescent="0.25">
      <c r="A100" s="5" t="s">
        <v>244</v>
      </c>
      <c r="B100" s="5" t="s">
        <v>50</v>
      </c>
      <c r="C100" s="6">
        <v>0.2397</v>
      </c>
      <c r="D100" s="7">
        <f>((4*12.0107)+(10*1.00794)+(1*15.9994))/24.4650003</f>
        <v>3.0296995336640156</v>
      </c>
      <c r="E100" s="7">
        <f>((4*12.0107)+(10*1.00794)+(1*15.9994))/22.4136</f>
        <v>3.3069921833172717</v>
      </c>
      <c r="F100" s="5" t="s">
        <v>245</v>
      </c>
    </row>
    <row r="101" spans="1:6" x14ac:dyDescent="0.25">
      <c r="A101" s="5" t="s">
        <v>246</v>
      </c>
      <c r="B101" s="5" t="s">
        <v>53</v>
      </c>
      <c r="C101" s="6">
        <v>0.29899999999999999</v>
      </c>
      <c r="D101" s="7">
        <f>((4*12.0107)+(8*1.00794))/24.4650003</f>
        <v>2.2933300352340482</v>
      </c>
      <c r="E101" s="7">
        <f>((4*12.0107)+(8*1.00794))/22.4136</f>
        <v>2.5032266124138913</v>
      </c>
      <c r="F101" s="5" t="s">
        <v>247</v>
      </c>
    </row>
    <row r="102" spans="1:6" x14ac:dyDescent="0.25">
      <c r="A102" s="5" t="s">
        <v>248</v>
      </c>
      <c r="B102" s="5" t="s">
        <v>249</v>
      </c>
      <c r="C102" s="6">
        <v>0.21809999999999999</v>
      </c>
      <c r="D102" s="7">
        <f>((5*12.0107)+(12*1.00794))/24.4650003</f>
        <v>2.949061071542272</v>
      </c>
      <c r="E102" s="7">
        <f>((5*12.0107)+(12*1.00794))/22.4136</f>
        <v>3.2189733019238322</v>
      </c>
      <c r="F102" s="5" t="s">
        <v>250</v>
      </c>
    </row>
    <row r="103" spans="1:6" x14ac:dyDescent="0.25">
      <c r="A103" s="5" t="s">
        <v>251</v>
      </c>
      <c r="B103" s="5" t="s">
        <v>252</v>
      </c>
      <c r="C103" s="6">
        <v>0.29380000000000001</v>
      </c>
      <c r="D103" s="7">
        <f>((3*12.0107)+(8*1.00794)+(1*15.9994))/24.4650003</f>
        <v>2.4563670248555036</v>
      </c>
      <c r="E103" s="7">
        <f>((3*12.0107)+(8*1.00794)+(1*15.9994))/22.4136</f>
        <v>2.6811855302137988</v>
      </c>
      <c r="F103" s="5" t="s">
        <v>253</v>
      </c>
    </row>
    <row r="104" spans="1:6" x14ac:dyDescent="0.25">
      <c r="A104" s="5" t="s">
        <v>254</v>
      </c>
      <c r="B104" s="5" t="s">
        <v>255</v>
      </c>
      <c r="C104" s="6">
        <v>0.4345</v>
      </c>
      <c r="D104" s="7">
        <f>((3*12.0107)+(3*1.00794)+(1*14.00674)+(1*15.9994))/24.4650003</f>
        <v>2.8228922604999926</v>
      </c>
      <c r="E104" s="7">
        <f>((3*12.0107)+(3*1.00794)+(1*14.00674)+(1*15.9994))/22.4136</f>
        <v>3.0812569154441949</v>
      </c>
      <c r="F104" s="5" t="s">
        <v>256</v>
      </c>
    </row>
    <row r="105" spans="1:6" x14ac:dyDescent="0.25">
      <c r="A105" s="5" t="s">
        <v>257</v>
      </c>
      <c r="B105" s="5" t="s">
        <v>258</v>
      </c>
      <c r="C105" s="6">
        <v>0.57430000000000003</v>
      </c>
      <c r="D105" s="7">
        <f>((2*12.0107)+(2*1.00794)+(1*15.9994))/24.4650003</f>
        <v>1.7182374610475684</v>
      </c>
      <c r="E105" s="7">
        <f>((2*12.0107)+(2*1.00794)+(1*15.9994))/22.4136</f>
        <v>1.8754988042973908</v>
      </c>
      <c r="F105" s="5"/>
    </row>
    <row r="106" spans="1:6" x14ac:dyDescent="0.25">
      <c r="A106" s="5" t="s">
        <v>259</v>
      </c>
      <c r="B106" s="5" t="s">
        <v>260</v>
      </c>
      <c r="C106" s="6">
        <v>1.4041999999999999</v>
      </c>
      <c r="D106" s="7">
        <f>((1*83.8))/24.4650003</f>
        <v>3.425301409050054</v>
      </c>
      <c r="E106" s="7">
        <f>((1*83.8))/22.4136</f>
        <v>3.738801441981654</v>
      </c>
      <c r="F106" s="5"/>
    </row>
    <row r="107" spans="1:6" x14ac:dyDescent="0.25">
      <c r="A107" s="5" t="s">
        <v>261</v>
      </c>
      <c r="B107" s="5" t="s">
        <v>262</v>
      </c>
      <c r="C107" s="6">
        <v>0.77</v>
      </c>
      <c r="D107" s="7">
        <f>((1*12.0107)+(4*1.00794))/24.4650003</f>
        <v>0.65573103630822349</v>
      </c>
      <c r="E107" s="7">
        <f>((1*12.0107)+(4*1.00794))/22.4136</f>
        <v>0.71574668950994036</v>
      </c>
      <c r="F107" s="5"/>
    </row>
    <row r="108" spans="1:6" x14ac:dyDescent="0.25">
      <c r="A108" s="5" t="s">
        <v>263</v>
      </c>
      <c r="B108" s="5" t="s">
        <v>264</v>
      </c>
      <c r="C108" s="6">
        <v>0.61760000000000004</v>
      </c>
      <c r="D108" s="7">
        <f>((1*12.0107)+(4*1.00794)+(1*15.9994))/24.4650003</f>
        <v>1.3097020072384793</v>
      </c>
      <c r="E108" s="7">
        <f>((1*12.0107)+(4*1.00794)+(1*15.9994))/22.4136</f>
        <v>1.4295722240068531</v>
      </c>
      <c r="F108" s="5" t="s">
        <v>265</v>
      </c>
    </row>
    <row r="109" spans="1:6" x14ac:dyDescent="0.25">
      <c r="A109" s="5" t="s">
        <v>266</v>
      </c>
      <c r="B109" s="5" t="s">
        <v>267</v>
      </c>
      <c r="C109" s="6">
        <v>0.309</v>
      </c>
      <c r="D109" s="7">
        <f>((3*12.0107)+(6*1.00794)+(2*15.9994))/24.4650003</f>
        <v>3.0279394682860481</v>
      </c>
      <c r="E109" s="7">
        <f>((3*12.0107)+(6*1.00794)+(2*15.9994))/22.4136</f>
        <v>3.3050710283042442</v>
      </c>
      <c r="F109" s="5" t="s">
        <v>268</v>
      </c>
    </row>
    <row r="110" spans="1:6" x14ac:dyDescent="0.25">
      <c r="A110" s="5" t="s">
        <v>269</v>
      </c>
      <c r="B110" s="5" t="s">
        <v>25</v>
      </c>
      <c r="C110" s="6">
        <v>0.44369999999999998</v>
      </c>
      <c r="D110" s="7">
        <f>((3*12.0107)+(4*1.00794))/24.4650003</f>
        <v>1.6375989989258246</v>
      </c>
      <c r="E110" s="7">
        <f>((3*12.0107)+(4*1.00794))/22.4136</f>
        <v>1.7874799229039511</v>
      </c>
      <c r="F110" s="5" t="s">
        <v>270</v>
      </c>
    </row>
    <row r="111" spans="1:6" x14ac:dyDescent="0.25">
      <c r="A111" s="5" t="s">
        <v>271</v>
      </c>
      <c r="B111" s="5" t="s">
        <v>272</v>
      </c>
      <c r="C111" s="6">
        <v>0.53700000000000003</v>
      </c>
      <c r="D111" s="7">
        <f>((1*12.0107)+(5*1.00794)+(1*14.00674))/24.4650003</f>
        <v>1.2694518544518474</v>
      </c>
      <c r="E111" s="7">
        <f>((1*12.0107)+(5*1.00794)+(1*14.00674))/22.4136</f>
        <v>1.3856381839597389</v>
      </c>
      <c r="F111" s="5" t="s">
        <v>273</v>
      </c>
    </row>
    <row r="112" spans="1:6" x14ac:dyDescent="0.25">
      <c r="A112" s="5" t="s">
        <v>274</v>
      </c>
      <c r="B112" s="5" t="s">
        <v>275</v>
      </c>
      <c r="C112" s="6">
        <v>0.63680000000000003</v>
      </c>
      <c r="D112" s="7">
        <f>((1*12.0107)+(3*1.00794)+(1*79.904))/24.4650003</f>
        <v>3.8805852783905341</v>
      </c>
      <c r="E112" s="7">
        <f>((1*12.0107)+(3*1.00794)+(1*79.904))/22.4136</f>
        <v>4.2357550772745123</v>
      </c>
      <c r="F112" s="5"/>
    </row>
    <row r="113" spans="1:6" x14ac:dyDescent="0.25">
      <c r="A113" s="5" t="s">
        <v>276</v>
      </c>
      <c r="B113" s="5" t="s">
        <v>277</v>
      </c>
      <c r="C113" s="6">
        <v>0.66490000000000005</v>
      </c>
      <c r="D113" s="7">
        <f>((1*12.0107)+(3*1.00794)+(1*35.4527))/24.4650003</f>
        <v>2.0636509045945117</v>
      </c>
      <c r="E113" s="7">
        <f>((1*12.0107)+(3*1.00794)+(1*35.4527))/22.4136</f>
        <v>2.2525261448406324</v>
      </c>
      <c r="F113" s="5" t="s">
        <v>278</v>
      </c>
    </row>
    <row r="114" spans="1:6" x14ac:dyDescent="0.25">
      <c r="A114" s="5" t="s">
        <v>279</v>
      </c>
      <c r="B114" s="5" t="s">
        <v>280</v>
      </c>
      <c r="C114" s="6">
        <v>0.18590000000000001</v>
      </c>
      <c r="D114" s="7">
        <f>((7*12.0107)+(14*1.00794))/24.4650003</f>
        <v>4.013327561659584</v>
      </c>
      <c r="E114" s="7">
        <f>((7*12.0107)+(14*1.00794))/22.4136</f>
        <v>4.3806465717243102</v>
      </c>
      <c r="F114" s="5"/>
    </row>
    <row r="115" spans="1:6" x14ac:dyDescent="0.25">
      <c r="A115" s="5" t="s">
        <v>281</v>
      </c>
      <c r="B115" s="5" t="s">
        <v>282</v>
      </c>
      <c r="C115" s="6">
        <v>0.26979999999999998</v>
      </c>
      <c r="D115" s="7">
        <f>((3*12.0107)+(9*1.00794)+(1*14.00674))/24.4650003</f>
        <v>2.4161168720688715</v>
      </c>
      <c r="E115" s="7">
        <f>((3*12.0107)+(9*1.00794)+(1*14.00674))/22.4136</f>
        <v>2.6372514901666846</v>
      </c>
      <c r="F115" s="5" t="s">
        <v>283</v>
      </c>
    </row>
    <row r="116" spans="1:6" x14ac:dyDescent="0.25">
      <c r="A116" s="5" t="s">
        <v>284</v>
      </c>
      <c r="B116" s="5" t="s">
        <v>252</v>
      </c>
      <c r="C116" s="6">
        <v>0.28489999999999999</v>
      </c>
      <c r="D116" s="7">
        <f>((3*12.0107)+(8*1.00794)+(1*15.9994))/24.4650003</f>
        <v>2.4563670248555036</v>
      </c>
      <c r="E116" s="7">
        <f>((3*12.0107)+(8*1.00794)+(1*15.9994))/22.4136</f>
        <v>2.6811855302137988</v>
      </c>
      <c r="F116" s="5" t="s">
        <v>285</v>
      </c>
    </row>
    <row r="117" spans="1:6" x14ac:dyDescent="0.25">
      <c r="A117" s="5" t="s">
        <v>286</v>
      </c>
      <c r="B117" s="5" t="s">
        <v>287</v>
      </c>
      <c r="C117" s="6">
        <v>0.27489999999999998</v>
      </c>
      <c r="D117" s="7">
        <f>((3*12.0107)+(8*1.00794)+(1*32.066))/24.4650003</f>
        <v>3.1130847768679568</v>
      </c>
      <c r="E117" s="7">
        <f>((3*12.0107)+(8*1.00794)+(1*32.066))/22.4136</f>
        <v>3.3980092443873362</v>
      </c>
      <c r="F117" s="5" t="s">
        <v>288</v>
      </c>
    </row>
    <row r="118" spans="1:6" x14ac:dyDescent="0.25">
      <c r="A118" s="5" t="s">
        <v>289</v>
      </c>
      <c r="B118" s="5" t="s">
        <v>290</v>
      </c>
      <c r="C118" s="6">
        <v>0.7258</v>
      </c>
      <c r="D118" s="7">
        <f>((1*12.0107)+(3*1.00794)+(1*18.9984032))/24.4650003</f>
        <v>1.3910861550244902</v>
      </c>
      <c r="E118" s="7">
        <f>((1*12.0107)+(3*1.00794)+(1*18.9984032))/22.4136</f>
        <v>1.5184050397972659</v>
      </c>
      <c r="F118" s="5" t="s">
        <v>291</v>
      </c>
    </row>
    <row r="119" spans="1:6" x14ac:dyDescent="0.25">
      <c r="A119" s="5" t="s">
        <v>292</v>
      </c>
      <c r="B119" s="5" t="s">
        <v>9</v>
      </c>
      <c r="C119" s="6">
        <v>0.39829999999999999</v>
      </c>
      <c r="D119" s="7">
        <f>((2*12.0107)+(4*1.00794)+(2*15.9994))/24.4650003</f>
        <v>2.4546069594775357</v>
      </c>
      <c r="E119" s="7">
        <f>((2*12.0107)+(4*1.00794)+(2*15.9994))/22.4136</f>
        <v>2.6792643752007708</v>
      </c>
      <c r="F119" s="5"/>
    </row>
    <row r="120" spans="1:6" x14ac:dyDescent="0.25">
      <c r="A120" s="5" t="s">
        <v>293</v>
      </c>
      <c r="B120" s="5" t="s">
        <v>294</v>
      </c>
      <c r="C120" s="6">
        <v>0.6522</v>
      </c>
      <c r="D120" s="7">
        <f>((1*12.0107)+(3*1.00794)+(1*126.90447))/24.4650003</f>
        <v>5.8017162583071782</v>
      </c>
      <c r="E120" s="7">
        <f>((1*12.0107)+(3*1.00794)+(1*126.90447))/22.4136</f>
        <v>6.3327171895634793</v>
      </c>
      <c r="F120" s="5"/>
    </row>
    <row r="121" spans="1:6" x14ac:dyDescent="0.25">
      <c r="A121" s="5" t="s">
        <v>295</v>
      </c>
      <c r="B121" s="5" t="s">
        <v>296</v>
      </c>
      <c r="C121" s="6">
        <v>0.54169999999999996</v>
      </c>
      <c r="D121" s="7">
        <f>((1*12.0107)+(4*1.00794)+(1*32.066))/24.4650003</f>
        <v>1.9664197592509329</v>
      </c>
      <c r="E121" s="7">
        <f>((1*12.0107)+(4*1.00794)+(1*32.066))/22.4136</f>
        <v>2.1463959381803908</v>
      </c>
      <c r="F121" s="5" t="s">
        <v>297</v>
      </c>
    </row>
    <row r="122" spans="1:6" x14ac:dyDescent="0.25">
      <c r="A122" s="5" t="s">
        <v>298</v>
      </c>
      <c r="B122" s="5" t="s">
        <v>221</v>
      </c>
      <c r="C122" s="6">
        <v>0.20419999999999999</v>
      </c>
      <c r="D122" s="7">
        <f>((6*12.0107)+(12*1.00794))/24.4650003</f>
        <v>3.4399950528510725</v>
      </c>
      <c r="E122" s="7">
        <f>((6*12.0107)+(12*1.00794))/22.4136</f>
        <v>3.7548399186208377</v>
      </c>
      <c r="F122" s="5"/>
    </row>
    <row r="123" spans="1:6" x14ac:dyDescent="0.25">
      <c r="A123" s="5" t="s">
        <v>299</v>
      </c>
      <c r="B123" s="5" t="s">
        <v>15</v>
      </c>
      <c r="C123" s="6">
        <v>0.34420000000000001</v>
      </c>
      <c r="D123" s="7">
        <f>((3*12.0107)+(6*1.00794)+(1*15.9994))/24.4650003</f>
        <v>2.3739684973557922</v>
      </c>
      <c r="E123" s="7">
        <f>((3*12.0107)+(6*1.00794)+(1*15.9994))/22.4136</f>
        <v>2.5912454938073317</v>
      </c>
      <c r="F123" s="5"/>
    </row>
    <row r="124" spans="1:6" x14ac:dyDescent="0.25">
      <c r="A124" s="5" t="s">
        <v>300</v>
      </c>
      <c r="B124" s="5" t="s">
        <v>301</v>
      </c>
      <c r="C124" s="6">
        <v>1.4043000000000001</v>
      </c>
      <c r="D124" s="7">
        <f>((1*20.1797))/24.4650003</f>
        <v>0.82483955661345321</v>
      </c>
      <c r="E124" s="7">
        <f>((1*20.1797))/22.4136</f>
        <v>0.90033283363672068</v>
      </c>
      <c r="F124" s="5"/>
    </row>
    <row r="125" spans="1:6" x14ac:dyDescent="0.25">
      <c r="A125" s="5" t="s">
        <v>302</v>
      </c>
      <c r="B125" s="5" t="s">
        <v>303</v>
      </c>
      <c r="C125" s="6">
        <v>0.97950000000000004</v>
      </c>
      <c r="D125" s="7">
        <f>((1*14.00674)+(1*15.9994))/24.4650003</f>
        <v>1.226492525324024</v>
      </c>
      <c r="E125" s="7">
        <f>((1*14.00674)+(1*15.9994))/22.4136</f>
        <v>1.3387470107434774</v>
      </c>
      <c r="F125" s="5" t="s">
        <v>304</v>
      </c>
    </row>
    <row r="126" spans="1:6" x14ac:dyDescent="0.25">
      <c r="A126" s="5" t="s">
        <v>305</v>
      </c>
      <c r="B126" s="5" t="s">
        <v>306</v>
      </c>
      <c r="C126" s="6">
        <v>1</v>
      </c>
      <c r="D126" s="7">
        <f>((2*14.00674))/24.4650003</f>
        <v>1.1450431087875361</v>
      </c>
      <c r="E126" s="7">
        <f>((2*14.00674))/22.4136</f>
        <v>1.2498429524931294</v>
      </c>
      <c r="F126" s="5"/>
    </row>
    <row r="127" spans="1:6" x14ac:dyDescent="0.25">
      <c r="A127" s="5" t="s">
        <v>307</v>
      </c>
      <c r="B127" s="5" t="s">
        <v>308</v>
      </c>
      <c r="C127" s="6">
        <v>0.76100000000000001</v>
      </c>
      <c r="D127" s="7">
        <f>((1*14.00674)+(2*15.9994))/24.4650003</f>
        <v>1.8804634962542794</v>
      </c>
      <c r="E127" s="7">
        <f>((1*14.00674)+(2*15.9994))/22.4136</f>
        <v>2.0525725452403898</v>
      </c>
      <c r="F127" s="5"/>
    </row>
    <row r="128" spans="1:6" x14ac:dyDescent="0.25">
      <c r="A128" s="5" t="s">
        <v>309</v>
      </c>
      <c r="B128" s="5" t="s">
        <v>310</v>
      </c>
      <c r="C128" s="6">
        <v>0.33989999999999998</v>
      </c>
      <c r="D128" s="7">
        <f>((2*14.00674)+(4*15.9994))/24.4650003</f>
        <v>3.7609269925085589</v>
      </c>
      <c r="E128" s="7">
        <f>((2*14.00674)+(4*15.9994))/22.4136</f>
        <v>4.1051450904807796</v>
      </c>
      <c r="F128" s="5"/>
    </row>
    <row r="129" spans="1:6" x14ac:dyDescent="0.25">
      <c r="A129" s="5" t="s">
        <v>311</v>
      </c>
      <c r="B129" s="5" t="s">
        <v>312</v>
      </c>
      <c r="C129" s="6">
        <v>0.54059999999999997</v>
      </c>
      <c r="D129" s="7">
        <f>((1*14.00674)+(3*18.9984032))/24.4650003</f>
        <v>2.9021847017921347</v>
      </c>
      <c r="E129" s="7">
        <f>((1*14.00674)+(3*18.9984032))/22.4136</f>
        <v>3.1678065817182421</v>
      </c>
      <c r="F129" s="5"/>
    </row>
    <row r="130" spans="1:6" x14ac:dyDescent="0.25">
      <c r="A130" s="5" t="s">
        <v>313</v>
      </c>
      <c r="B130" s="5" t="s">
        <v>314</v>
      </c>
      <c r="C130" s="6">
        <v>0.4662</v>
      </c>
      <c r="D130" s="7">
        <f>((1*12.0107)+(3*1.00794)+(1*14.00674)+(2*15.9994))/24.4650003</f>
        <v>2.4949952688126471</v>
      </c>
      <c r="E130" s="7">
        <f>((1*12.0107)+(3*1.00794)+(1*14.00674)+(2*15.9994))/22.4136</f>
        <v>2.7233492165470965</v>
      </c>
      <c r="F130" s="5"/>
    </row>
    <row r="131" spans="1:6" x14ac:dyDescent="0.25">
      <c r="A131" s="5" t="s">
        <v>315</v>
      </c>
      <c r="B131" s="5" t="s">
        <v>316</v>
      </c>
      <c r="C131" s="6">
        <v>0.63600000000000001</v>
      </c>
      <c r="D131" s="7">
        <f>((1*14.00674)+(1*15.9994)+(1*35.4527))/24.4650003</f>
        <v>2.675611657360168</v>
      </c>
      <c r="E131" s="7">
        <f>((1*14.00674)+(1*15.9994)+(1*35.4527))/22.4136</f>
        <v>2.9204964842774035</v>
      </c>
      <c r="F131" s="5"/>
    </row>
    <row r="132" spans="1:6" x14ac:dyDescent="0.25">
      <c r="A132" s="5" t="s">
        <v>317</v>
      </c>
      <c r="B132" s="5" t="s">
        <v>318</v>
      </c>
      <c r="C132" s="6">
        <v>0.72199999999999998</v>
      </c>
      <c r="D132" s="7">
        <f>((2*14.00674)+(1*15.9994))/24.4650003</f>
        <v>1.7990140797177918</v>
      </c>
      <c r="E132" s="7">
        <f>((2*14.00674)+(1*15.9994))/22.4136</f>
        <v>1.963668486990042</v>
      </c>
      <c r="F132" s="5"/>
    </row>
    <row r="133" spans="1:6" x14ac:dyDescent="0.25">
      <c r="A133" s="5" t="s">
        <v>319</v>
      </c>
      <c r="B133" s="5" t="s">
        <v>249</v>
      </c>
      <c r="C133" s="6">
        <v>0.21260000000000001</v>
      </c>
      <c r="D133" s="7">
        <f>((5*12.0107)+(12*1.00794))/24.4650003</f>
        <v>2.949061071542272</v>
      </c>
      <c r="E133" s="7">
        <f>((5*12.0107)+(12*1.00794))/22.4136</f>
        <v>3.2189733019238322</v>
      </c>
      <c r="F133" s="5" t="s">
        <v>320</v>
      </c>
    </row>
    <row r="134" spans="1:6" x14ac:dyDescent="0.25">
      <c r="A134" s="5" t="s">
        <v>321</v>
      </c>
      <c r="B134" s="5" t="s">
        <v>322</v>
      </c>
      <c r="C134" s="6">
        <v>0.1389</v>
      </c>
      <c r="D134" s="7">
        <f>((8*12.0107)+(18*1.00794))/24.4650003</f>
        <v>4.6690585979678083</v>
      </c>
      <c r="E134" s="7">
        <f>((8*12.0107)+(18*1.00794))/22.4136</f>
        <v>5.0963932612342511</v>
      </c>
      <c r="F134" s="5"/>
    </row>
    <row r="135" spans="1:6" x14ac:dyDescent="0.25">
      <c r="A135" s="5" t="s">
        <v>323</v>
      </c>
      <c r="B135" s="5" t="s">
        <v>324</v>
      </c>
      <c r="C135" s="6">
        <v>0.98099999999999998</v>
      </c>
      <c r="D135" s="7">
        <f>((2*15.9994))/24.4650003</f>
        <v>1.3079419418605116</v>
      </c>
      <c r="E135" s="7">
        <f>((2*15.9994))/22.4136</f>
        <v>1.4276510689938253</v>
      </c>
      <c r="F135" s="5"/>
    </row>
    <row r="136" spans="1:6" x14ac:dyDescent="0.25">
      <c r="A136" s="5" t="s">
        <v>325</v>
      </c>
      <c r="B136" s="5" t="s">
        <v>326</v>
      </c>
      <c r="C136" s="6">
        <v>0.64600000000000002</v>
      </c>
      <c r="D136" s="7">
        <f>((2*18.9984032)+(1*15.9994))/24.4650003</f>
        <v>2.2070797358625005</v>
      </c>
      <c r="E136" s="7">
        <f>((2*18.9984032)+(1*15.9994))/22.4136</f>
        <v>2.4090822714780313</v>
      </c>
      <c r="F136" s="5"/>
    </row>
    <row r="137" spans="1:6" x14ac:dyDescent="0.25">
      <c r="A137" s="5" t="s">
        <v>327</v>
      </c>
      <c r="B137" s="5" t="s">
        <v>328</v>
      </c>
      <c r="C137" s="6">
        <v>0.70289999999999997</v>
      </c>
      <c r="D137" s="7">
        <f>((3*15.9994))/24.4650003</f>
        <v>1.9619129127907673</v>
      </c>
      <c r="E137" s="7">
        <f>((3*15.9994))/22.4136</f>
        <v>2.1414766034907378</v>
      </c>
      <c r="F137" s="5"/>
    </row>
    <row r="138" spans="1:6" x14ac:dyDescent="0.25">
      <c r="A138" s="5" t="s">
        <v>329</v>
      </c>
      <c r="B138" s="5" t="s">
        <v>330</v>
      </c>
      <c r="C138" s="6">
        <v>0.14990000000000001</v>
      </c>
      <c r="D138" s="7">
        <f>((5*10.811)+(9*1.00794))/24.4650003</f>
        <v>2.5802762814599269</v>
      </c>
      <c r="E138" s="7">
        <f>((5*10.811)+(9*1.00794))/22.4136</f>
        <v>2.8164355569832602</v>
      </c>
      <c r="F138" s="5"/>
    </row>
    <row r="139" spans="1:6" x14ac:dyDescent="0.25">
      <c r="A139" s="5" t="s">
        <v>331</v>
      </c>
      <c r="B139" s="5" t="s">
        <v>249</v>
      </c>
      <c r="C139" s="6">
        <v>0.218</v>
      </c>
      <c r="D139" s="7">
        <f>((5*12.0107)+(12*1.00794))/24.4650003</f>
        <v>2.949061071542272</v>
      </c>
      <c r="E139" s="7">
        <f>((5*12.0107)+(12*1.00794))/22.4136</f>
        <v>3.2189733019238322</v>
      </c>
      <c r="F139" s="5"/>
    </row>
    <row r="140" spans="1:6" x14ac:dyDescent="0.25">
      <c r="A140" s="5" t="s">
        <v>332</v>
      </c>
      <c r="B140" s="5" t="s">
        <v>333</v>
      </c>
      <c r="C140" s="6">
        <v>0.41620000000000001</v>
      </c>
      <c r="D140" s="7">
        <f>((1*35.4527)+(1*18.9984032)+(3*15.9994))/24.4650003</f>
        <v>4.1875864272930343</v>
      </c>
      <c r="E140" s="7">
        <f>((1*35.4527)+(1*18.9984032)+(3*15.9994))/22.4136</f>
        <v>4.5708544455152236</v>
      </c>
      <c r="F140" s="5"/>
    </row>
    <row r="141" spans="1:6" x14ac:dyDescent="0.25">
      <c r="A141" s="5" t="s">
        <v>334</v>
      </c>
      <c r="B141" s="5" t="s">
        <v>335</v>
      </c>
      <c r="C141" s="6">
        <v>0.1714</v>
      </c>
      <c r="D141" s="7">
        <f>((4*12.0107)+(8*18.9984032))/24.4650003</f>
        <v>8.1761709849641804</v>
      </c>
      <c r="E141" s="7">
        <f>((4*12.0107)+(8*18.9984032))/22.4136</f>
        <v>8.9244934147124955</v>
      </c>
      <c r="F141" s="5" t="s">
        <v>336</v>
      </c>
    </row>
    <row r="142" spans="1:6" x14ac:dyDescent="0.25">
      <c r="A142" s="5" t="s">
        <v>337</v>
      </c>
      <c r="B142" s="5" t="s">
        <v>338</v>
      </c>
      <c r="C142" s="6">
        <v>0.25340000000000001</v>
      </c>
      <c r="D142" s="7">
        <f>((2*12.0107)+(6*18.9984032))/24.4650003</f>
        <v>5.6411942574143357</v>
      </c>
      <c r="E142" s="7">
        <f>((2*12.0107)+(6*18.9984032))/22.4136</f>
        <v>6.1575034443373662</v>
      </c>
      <c r="F142" s="5" t="s">
        <v>339</v>
      </c>
    </row>
    <row r="143" spans="1:6" x14ac:dyDescent="0.25">
      <c r="A143" s="5" t="s">
        <v>340</v>
      </c>
      <c r="B143" s="5" t="s">
        <v>341</v>
      </c>
      <c r="C143" s="6">
        <v>0.182</v>
      </c>
      <c r="D143" s="7">
        <f>((3*12.0107)+(8*18.9984032))/24.4650003</f>
        <v>7.6852370036553816</v>
      </c>
      <c r="E143" s="7">
        <f>((3*12.0107)+(8*18.9984032))/22.4136</f>
        <v>8.3886267980154905</v>
      </c>
      <c r="F143" s="5"/>
    </row>
    <row r="144" spans="1:6" x14ac:dyDescent="0.25">
      <c r="A144" s="5" t="s">
        <v>342</v>
      </c>
      <c r="B144" s="5" t="s">
        <v>343</v>
      </c>
      <c r="C144" s="6">
        <v>0.24959999999999999</v>
      </c>
      <c r="D144" s="7">
        <f>((6*12.0107)+(6*1.00794)+(1*15.9994))/24.4650003</f>
        <v>3.8467704412821937</v>
      </c>
      <c r="E144" s="7">
        <f>((6*12.0107)+(6*1.00794)+(1*15.9994))/22.4136</f>
        <v>4.1988453438983475</v>
      </c>
      <c r="F144" s="5" t="s">
        <v>344</v>
      </c>
    </row>
    <row r="145" spans="1:6" x14ac:dyDescent="0.25">
      <c r="A145" s="5" t="s">
        <v>345</v>
      </c>
      <c r="B145" s="5" t="s">
        <v>346</v>
      </c>
      <c r="C145" s="6">
        <v>0.48170000000000002</v>
      </c>
      <c r="D145" s="7">
        <f>((1*12.0107)+(1*15.9994)+(2*35.4527))/24.4650003</f>
        <v>4.0431432163113445</v>
      </c>
      <c r="E145" s="7">
        <f>((1*12.0107)+(1*15.9994)+(2*35.4527))/22.4136</f>
        <v>4.4131910982617706</v>
      </c>
      <c r="F145" s="5" t="s">
        <v>347</v>
      </c>
    </row>
    <row r="146" spans="1:6" x14ac:dyDescent="0.25">
      <c r="A146" s="5" t="s">
        <v>348</v>
      </c>
      <c r="B146" s="5" t="s">
        <v>349</v>
      </c>
      <c r="C146" s="6">
        <v>0.78590000000000004</v>
      </c>
      <c r="D146" s="7">
        <f>((1*30.973761)+(3*1.00794))/24.4650003</f>
        <v>1.3896415525488466</v>
      </c>
      <c r="E146" s="7">
        <f>((1*30.973761)+(3*1.00794))/22.4136</f>
        <v>1.5168282203662062</v>
      </c>
      <c r="F146" s="5"/>
    </row>
    <row r="147" spans="1:6" x14ac:dyDescent="0.25">
      <c r="A147" s="5" t="s">
        <v>350</v>
      </c>
      <c r="B147" s="5" t="s">
        <v>351</v>
      </c>
      <c r="C147" s="6">
        <v>0.49719999999999998</v>
      </c>
      <c r="D147" s="7">
        <f>((1*30.973761)+(3*18.9984032))/24.4650003</f>
        <v>3.5957069086976463</v>
      </c>
      <c r="E147" s="7">
        <f>((1*30.973761)+(3*18.9984032))/22.4136</f>
        <v>3.9248032712281828</v>
      </c>
      <c r="F147" s="5"/>
    </row>
    <row r="148" spans="1:6" x14ac:dyDescent="0.25">
      <c r="A148" s="5" t="s">
        <v>352</v>
      </c>
      <c r="B148" s="5" t="s">
        <v>353</v>
      </c>
      <c r="C148" s="6">
        <v>0.35699999999999998</v>
      </c>
      <c r="D148" s="7">
        <f>((3*12.0107)+(8*1.00794))/24.4650003</f>
        <v>1.8023960539252475</v>
      </c>
      <c r="E148" s="7">
        <f>((3*12.0107)+(8*1.00794))/22.4136</f>
        <v>1.9673599957168861</v>
      </c>
      <c r="F148" s="5"/>
    </row>
    <row r="149" spans="1:6" x14ac:dyDescent="0.25">
      <c r="A149" s="5" t="s">
        <v>354</v>
      </c>
      <c r="B149" s="5" t="s">
        <v>252</v>
      </c>
      <c r="C149" s="6">
        <v>0.30669999999999997</v>
      </c>
      <c r="D149" s="7">
        <f>((3*12.0107)+(8*1.00794)+(1*15.9994))/24.4650003</f>
        <v>2.4563670248555036</v>
      </c>
      <c r="E149" s="7">
        <f>((3*12.0107)+(8*1.00794)+(1*15.9994))/22.4136</f>
        <v>2.6811855302137988</v>
      </c>
      <c r="F149" s="5" t="s">
        <v>355</v>
      </c>
    </row>
    <row r="150" spans="1:6" x14ac:dyDescent="0.25">
      <c r="A150" s="5" t="s">
        <v>356</v>
      </c>
      <c r="B150" s="5" t="s">
        <v>282</v>
      </c>
      <c r="C150" s="6">
        <v>0.28670000000000001</v>
      </c>
      <c r="D150" s="7">
        <f>((3*12.0107)+(9*1.00794)+(1*14.00674))/24.4650003</f>
        <v>2.4161168720688715</v>
      </c>
      <c r="E150" s="7">
        <f>((3*12.0107)+(9*1.00794)+(1*14.00674))/22.4136</f>
        <v>2.6372514901666846</v>
      </c>
      <c r="F150" s="5" t="s">
        <v>357</v>
      </c>
    </row>
    <row r="151" spans="1:6" x14ac:dyDescent="0.25">
      <c r="A151" s="5" t="s">
        <v>358</v>
      </c>
      <c r="B151" s="5" t="s">
        <v>93</v>
      </c>
      <c r="C151" s="6">
        <v>0.40560000000000002</v>
      </c>
      <c r="D151" s="7">
        <f>((3*12.0107)+(6*1.00794))/24.4650003</f>
        <v>1.7199975264255363</v>
      </c>
      <c r="E151" s="7">
        <f>((3*12.0107)+(6*1.00794))/22.4136</f>
        <v>1.8774199593104188</v>
      </c>
      <c r="F151" s="5" t="s">
        <v>359</v>
      </c>
    </row>
    <row r="152" spans="1:6" x14ac:dyDescent="0.25">
      <c r="A152" s="5" t="s">
        <v>360</v>
      </c>
      <c r="B152" s="5" t="s">
        <v>361</v>
      </c>
      <c r="C152" s="6">
        <v>0.32319999999999999</v>
      </c>
      <c r="D152" s="7">
        <f>((5*12.0107)+(5*1.00794)+(1*14.00674))/24.4650003</f>
        <v>3.2331877796870496</v>
      </c>
      <c r="E152" s="7">
        <f>((5*12.0107)+(5*1.00794)+(1*14.00674))/22.4136</f>
        <v>3.5291046507477608</v>
      </c>
      <c r="F152" s="5" t="s">
        <v>362</v>
      </c>
    </row>
    <row r="153" spans="1:6" x14ac:dyDescent="0.25">
      <c r="A153" s="5" t="s">
        <v>363</v>
      </c>
      <c r="B153" s="5" t="s">
        <v>364</v>
      </c>
      <c r="C153" s="6">
        <v>0.62070000000000003</v>
      </c>
      <c r="D153" s="7">
        <f>((1*12.0107)+(2*1.00794)+(2*18.9984032))/24.4650003</f>
        <v>2.1264412737407565</v>
      </c>
      <c r="E153" s="7">
        <f>((1*12.0107)+(2*1.00794)+(2*18.9984032))/22.4136</f>
        <v>2.3210633900845914</v>
      </c>
      <c r="F153" s="5" t="s">
        <v>365</v>
      </c>
    </row>
    <row r="154" spans="1:6" x14ac:dyDescent="0.25">
      <c r="A154" s="5" t="s">
        <v>366</v>
      </c>
      <c r="B154" s="5" t="s">
        <v>367</v>
      </c>
      <c r="C154" s="6">
        <v>0.2586</v>
      </c>
      <c r="D154" s="7">
        <f>((2*12.0107)+(1*1.00794)+(2*35.4527)+(3*18.9984032))/24.4650003</f>
        <v>6.2509686378381115</v>
      </c>
      <c r="E154" s="7">
        <f>((2*12.0107)+(1*1.00794)+(2*35.4527)+(3*18.9984032))/22.4136</f>
        <v>6.8230873041367737</v>
      </c>
      <c r="F154" s="5" t="s">
        <v>368</v>
      </c>
    </row>
    <row r="155" spans="1:6" x14ac:dyDescent="0.25">
      <c r="A155" s="5" t="s">
        <v>369</v>
      </c>
      <c r="B155" s="5" t="s">
        <v>367</v>
      </c>
      <c r="C155" s="6">
        <v>0.2702</v>
      </c>
      <c r="D155" s="7">
        <f>((2*12.0107)+(1*1.00794)+(2*35.4527)+(3*18.9984032))/24.4650003</f>
        <v>6.2509686378381115</v>
      </c>
      <c r="E155" s="7">
        <f>((2*12.0107)+(1*1.00794)+(2*35.4527)+(3*18.9984032))/22.4136</f>
        <v>6.8230873041367737</v>
      </c>
      <c r="F155" s="5" t="s">
        <v>370</v>
      </c>
    </row>
    <row r="156" spans="1:6" x14ac:dyDescent="0.25">
      <c r="A156" s="5" t="s">
        <v>371</v>
      </c>
      <c r="B156" s="5" t="s">
        <v>372</v>
      </c>
      <c r="C156" s="6">
        <v>0.28310000000000002</v>
      </c>
      <c r="D156" s="7">
        <f>((2*12.0107)+(1*1.00794)+(5*18.9984032))/24.4650003</f>
        <v>4.9058391386980693</v>
      </c>
      <c r="E156" s="7">
        <f>((2*12.0107)+(1*1.00794)+(5*18.9984032))/22.4136</f>
        <v>5.3548450940500416</v>
      </c>
      <c r="F156" s="5" t="s">
        <v>373</v>
      </c>
    </row>
    <row r="157" spans="1:6" x14ac:dyDescent="0.25">
      <c r="A157" s="5" t="s">
        <v>374</v>
      </c>
      <c r="B157" s="5" t="s">
        <v>375</v>
      </c>
      <c r="C157" s="6">
        <v>0.30009999999999998</v>
      </c>
      <c r="D157" s="7">
        <f>((2*12.0107)+(2*1.00794)+(4*18.9984032))/24.4650003</f>
        <v>4.1704840199818021</v>
      </c>
      <c r="E157" s="7">
        <f>((2*12.0107)+(2*1.00794)+(4*18.9984032))/22.4136</f>
        <v>4.5521867437627153</v>
      </c>
      <c r="F157" s="5" t="s">
        <v>376</v>
      </c>
    </row>
    <row r="158" spans="1:6" x14ac:dyDescent="0.25">
      <c r="A158" s="5" t="s">
        <v>377</v>
      </c>
      <c r="B158" s="5" t="s">
        <v>375</v>
      </c>
      <c r="C158" s="6">
        <v>0.3115</v>
      </c>
      <c r="D158" s="7">
        <f>((2*12.0107)+(2*1.00794)+(4*18.9984032))/24.4650003</f>
        <v>4.1704840199818021</v>
      </c>
      <c r="E158" s="7">
        <f>((2*12.0107)+(2*1.00794)+(4*18.9984032))/22.4136</f>
        <v>4.5521867437627153</v>
      </c>
      <c r="F158" s="5" t="s">
        <v>378</v>
      </c>
    </row>
    <row r="159" spans="1:6" x14ac:dyDescent="0.25">
      <c r="A159" s="5" t="s">
        <v>379</v>
      </c>
      <c r="B159" s="5" t="s">
        <v>380</v>
      </c>
      <c r="C159" s="6">
        <v>0.34570000000000001</v>
      </c>
      <c r="D159" s="7">
        <f>((2*12.0107)+(3*1.00794)+(3*18.9984032))/24.4650003</f>
        <v>3.4351289012655357</v>
      </c>
      <c r="E159" s="7">
        <f>((2*12.0107)+(3*1.00794)+(3*18.9984032))/22.4136</f>
        <v>3.7495283934753898</v>
      </c>
      <c r="F159" s="5" t="s">
        <v>381</v>
      </c>
    </row>
    <row r="160" spans="1:6" x14ac:dyDescent="0.25">
      <c r="A160" s="5" t="s">
        <v>382</v>
      </c>
      <c r="B160" s="5" t="s">
        <v>380</v>
      </c>
      <c r="C160" s="6">
        <v>0.34010000000000001</v>
      </c>
      <c r="D160" s="7">
        <f>((2*12.0107)+(3*1.00794)+(3*18.9984032))/24.4650003</f>
        <v>3.4351289012655357</v>
      </c>
      <c r="E160" s="7">
        <f>((2*12.0107)+(3*1.00794)+(3*18.9984032))/22.4136</f>
        <v>3.7495283934753898</v>
      </c>
      <c r="F160" s="5" t="s">
        <v>383</v>
      </c>
    </row>
    <row r="161" spans="1:6" x14ac:dyDescent="0.25">
      <c r="A161" s="5" t="s">
        <v>384</v>
      </c>
      <c r="B161" s="5" t="s">
        <v>385</v>
      </c>
      <c r="C161" s="6">
        <v>0.38850000000000001</v>
      </c>
      <c r="D161" s="7">
        <f>((2*12.0107)+(4*1.00794)+(2*18.9984032))/24.4650003</f>
        <v>2.6997737825492685</v>
      </c>
      <c r="E161" s="7">
        <f>((2*12.0107)+(4*1.00794)+(2*18.9984032))/22.4136</f>
        <v>2.9468700431880639</v>
      </c>
      <c r="F161" s="5" t="s">
        <v>386</v>
      </c>
    </row>
    <row r="162" spans="1:6" x14ac:dyDescent="0.25">
      <c r="A162" s="5" t="s">
        <v>387</v>
      </c>
      <c r="B162" s="5" t="s">
        <v>341</v>
      </c>
      <c r="C162" s="6">
        <v>0.182</v>
      </c>
      <c r="D162" s="7">
        <f>((3*12.0107)+(8*18.9984032))/24.4650003</f>
        <v>7.6852370036553816</v>
      </c>
      <c r="E162" s="7">
        <f>((3*12.0107)+(8*18.9984032))/22.4136</f>
        <v>8.3886267980154905</v>
      </c>
      <c r="F162" s="5" t="s">
        <v>388</v>
      </c>
    </row>
    <row r="163" spans="1:6" x14ac:dyDescent="0.25">
      <c r="A163" s="5" t="s">
        <v>389</v>
      </c>
      <c r="B163" s="5" t="s">
        <v>390</v>
      </c>
      <c r="C163" s="6">
        <v>0.30520000000000003</v>
      </c>
      <c r="D163" s="7">
        <f>((2*12.0107)+(3*1.00794)+(2*35.4527)+(1*18.9984032))/24.4650003</f>
        <v>4.7802584004055788</v>
      </c>
      <c r="E163" s="7">
        <f>((2*12.0107)+(3*1.00794)+(2*35.4527)+(1*18.9984032))/22.4136</f>
        <v>5.2177706035621236</v>
      </c>
      <c r="F163" s="5" t="s">
        <v>391</v>
      </c>
    </row>
    <row r="164" spans="1:6" x14ac:dyDescent="0.25">
      <c r="A164" s="5" t="s">
        <v>392</v>
      </c>
      <c r="B164" s="5" t="s">
        <v>393</v>
      </c>
      <c r="C164" s="6">
        <v>1.4041999999999999</v>
      </c>
      <c r="D164" s="7">
        <f>((1*222))/24.4650003</f>
        <v>9.0741875036886874</v>
      </c>
      <c r="E164" s="7">
        <f>((1*222))/22.4136</f>
        <v>9.9047007174215658</v>
      </c>
      <c r="F164" s="5"/>
    </row>
    <row r="165" spans="1:6" x14ac:dyDescent="0.25">
      <c r="A165" s="5" t="s">
        <v>394</v>
      </c>
      <c r="B165" s="5" t="s">
        <v>50</v>
      </c>
      <c r="C165" s="6">
        <v>0.2331</v>
      </c>
      <c r="D165" s="7">
        <f>((4*12.0107)+(10*1.00794)+(1*15.9994))/24.4650003</f>
        <v>3.0296995336640156</v>
      </c>
      <c r="E165" s="7">
        <f>((4*12.0107)+(10*1.00794)+(1*15.9994))/22.4136</f>
        <v>3.3069921833172717</v>
      </c>
      <c r="F165" s="5" t="s">
        <v>395</v>
      </c>
    </row>
    <row r="166" spans="1:6" x14ac:dyDescent="0.25">
      <c r="A166" s="5" t="s">
        <v>396</v>
      </c>
      <c r="B166" s="5" t="s">
        <v>397</v>
      </c>
      <c r="C166" s="6">
        <v>0.68089999999999995</v>
      </c>
      <c r="D166" s="7">
        <f>((1*28.0855)+(4*1.00794))/24.4650003</f>
        <v>1.3127839610122547</v>
      </c>
      <c r="E166" s="7">
        <f>((1*28.0855)+(4*1.00794))/22.4136</f>
        <v>1.4329362529892566</v>
      </c>
      <c r="F166" s="5"/>
    </row>
    <row r="167" spans="1:6" x14ac:dyDescent="0.25">
      <c r="A167" s="5" t="s">
        <v>398</v>
      </c>
      <c r="B167" s="5" t="s">
        <v>399</v>
      </c>
      <c r="C167" s="6">
        <v>0.3896</v>
      </c>
      <c r="D167" s="7">
        <f>((1*28.0855)+(4*18.9984032))/24.4650003</f>
        <v>4.2542044358773214</v>
      </c>
      <c r="E167" s="7">
        <f>((1*28.0855)+(4*18.9984032))/22.4136</f>
        <v>4.6435696541385587</v>
      </c>
      <c r="F167" s="5" t="s">
        <v>400</v>
      </c>
    </row>
    <row r="168" spans="1:6" x14ac:dyDescent="0.25">
      <c r="A168" s="5" t="s">
        <v>401</v>
      </c>
      <c r="B168" s="5" t="s">
        <v>402</v>
      </c>
      <c r="C168" s="6">
        <v>0.68810000000000004</v>
      </c>
      <c r="D168" s="7">
        <f>((1*32.066)+(2*15.9994))/24.4650003</f>
        <v>2.6186306648032214</v>
      </c>
      <c r="E168" s="7">
        <f>((1*32.066)+(2*15.9994))/22.4136</f>
        <v>2.8583003176642756</v>
      </c>
      <c r="F168" s="5"/>
    </row>
    <row r="169" spans="1:6" x14ac:dyDescent="0.25">
      <c r="A169" s="5" t="s">
        <v>403</v>
      </c>
      <c r="B169" s="5" t="s">
        <v>404</v>
      </c>
      <c r="C169" s="6">
        <v>0.27400000000000002</v>
      </c>
      <c r="D169" s="7">
        <f>((1*32.066)+(6*18.9984032))/24.4650003</f>
        <v>5.9700150177394438</v>
      </c>
      <c r="E169" s="7">
        <f>((1*32.066)+(6*18.9984032))/22.4136</f>
        <v>6.5164194596138056</v>
      </c>
      <c r="F169" s="5"/>
    </row>
    <row r="170" spans="1:6" x14ac:dyDescent="0.25">
      <c r="A170" s="5" t="s">
        <v>405</v>
      </c>
      <c r="B170" s="5" t="s">
        <v>406</v>
      </c>
      <c r="C170" s="6">
        <v>0.37580000000000002</v>
      </c>
      <c r="D170" s="7">
        <f>((1*32.066)+(4*18.9984032))/24.4650003</f>
        <v>4.4169062528071992</v>
      </c>
      <c r="E170" s="7">
        <f>((1*32.066)+(4*18.9984032))/22.4136</f>
        <v>4.8211627226326872</v>
      </c>
      <c r="F170" s="5"/>
    </row>
    <row r="171" spans="1:6" x14ac:dyDescent="0.25">
      <c r="A171" s="5" t="s">
        <v>407</v>
      </c>
      <c r="B171" s="5" t="s">
        <v>408</v>
      </c>
      <c r="C171" s="6">
        <v>4.3729999999999998E-2</v>
      </c>
      <c r="D171" s="7">
        <f>((1*32.066)+(3*18.9984032))/24.4650003</f>
        <v>3.6403518703410764</v>
      </c>
      <c r="E171" s="7">
        <f>((1*32.066)+(3*18.9984032))/22.4136</f>
        <v>3.973534354142128</v>
      </c>
      <c r="F171" s="5"/>
    </row>
    <row r="172" spans="1:6" x14ac:dyDescent="0.25">
      <c r="A172" s="5" t="s">
        <v>409</v>
      </c>
      <c r="B172" s="5" t="s">
        <v>410</v>
      </c>
      <c r="C172" s="6">
        <v>0.54039999999999999</v>
      </c>
      <c r="D172" s="7">
        <f>((1*32.066)+(3*15.9994))/24.4650003</f>
        <v>3.2726016357334768</v>
      </c>
      <c r="E172" s="7">
        <f>((1*32.066)+(3*15.9994))/22.4136</f>
        <v>3.5721258521611881</v>
      </c>
      <c r="F172" s="5"/>
    </row>
    <row r="173" spans="1:6" x14ac:dyDescent="0.25">
      <c r="A173" s="5" t="s">
        <v>411</v>
      </c>
      <c r="B173" s="5" t="s">
        <v>412</v>
      </c>
      <c r="C173" s="6">
        <v>0.29289999999999999</v>
      </c>
      <c r="D173" s="7">
        <f>((2*12.0107)+(4*35.4527))/24.4650003</f>
        <v>6.7783444907621764</v>
      </c>
      <c r="E173" s="7">
        <f>((2*12.0107)+(4*35.4527))/22.4136</f>
        <v>7.3987311275297145</v>
      </c>
      <c r="F173" s="5"/>
    </row>
    <row r="174" spans="1:6" x14ac:dyDescent="0.25">
      <c r="A174" s="5" t="s">
        <v>413</v>
      </c>
      <c r="B174" s="5" t="s">
        <v>414</v>
      </c>
      <c r="C174" s="6">
        <v>0.34</v>
      </c>
      <c r="D174" s="7">
        <f>((2*12.0107)+(4*18.9984032))/24.4650003</f>
        <v>4.0880854924820902</v>
      </c>
      <c r="E174" s="7">
        <f>((2*12.0107)+(4*18.9984032))/22.4136</f>
        <v>4.4622467073562477</v>
      </c>
      <c r="F174" s="5" t="s">
        <v>415</v>
      </c>
    </row>
    <row r="175" spans="1:6" x14ac:dyDescent="0.25">
      <c r="A175" s="5" t="s">
        <v>416</v>
      </c>
      <c r="B175" s="5" t="s">
        <v>417</v>
      </c>
      <c r="C175" s="6">
        <v>0.32819999999999999</v>
      </c>
      <c r="D175" s="7">
        <f>((4*12.0107)+(8*1.00794)+(1*15.9994))/24.4650003</f>
        <v>2.9473010061643037</v>
      </c>
      <c r="E175" s="7">
        <f>((4*12.0107)+(8*1.00794)+(1*15.9994))/22.4136</f>
        <v>3.2170521469108038</v>
      </c>
      <c r="F175" s="5"/>
    </row>
    <row r="176" spans="1:6" x14ac:dyDescent="0.25">
      <c r="A176" s="5" t="s">
        <v>418</v>
      </c>
      <c r="B176" s="5" t="s">
        <v>50</v>
      </c>
      <c r="C176" s="6">
        <v>0.2303</v>
      </c>
      <c r="D176" s="7">
        <f>((4*12.0107)+(10*1.00794)+(1*15.9994))/24.4650003</f>
        <v>3.0296995336640156</v>
      </c>
      <c r="E176" s="7">
        <f>((4*12.0107)+(10*1.00794)+(1*15.9994))/22.4136</f>
        <v>3.3069921833172717</v>
      </c>
      <c r="F176" s="5" t="s">
        <v>419</v>
      </c>
    </row>
    <row r="177" spans="1:6" x14ac:dyDescent="0.25">
      <c r="A177" s="5" t="s">
        <v>420</v>
      </c>
      <c r="B177" s="5" t="s">
        <v>421</v>
      </c>
      <c r="C177" s="6">
        <v>0.35470000000000002</v>
      </c>
      <c r="D177" s="7">
        <f>((4*12.0107)+(4*1.00794)+(1*15.9994))/24.4650003</f>
        <v>2.7825039511648813</v>
      </c>
      <c r="E177" s="7">
        <f>((4*12.0107)+(4*1.00794)+(1*15.9994))/22.4136</f>
        <v>3.0371720740978692</v>
      </c>
      <c r="F177" s="5" t="s">
        <v>422</v>
      </c>
    </row>
    <row r="178" spans="1:6" x14ac:dyDescent="0.25">
      <c r="A178" s="5" t="s">
        <v>423</v>
      </c>
      <c r="B178" s="5" t="s">
        <v>424</v>
      </c>
      <c r="C178" s="6">
        <v>0.2455</v>
      </c>
      <c r="D178" s="7">
        <f>((7*12.0107)+(8*1.00794))/24.4650003</f>
        <v>3.7661319791604497</v>
      </c>
      <c r="E178" s="7">
        <f>((7*12.0107)+(8*1.00794))/22.4136</f>
        <v>4.1108264625049076</v>
      </c>
      <c r="F178" s="5" t="s">
        <v>425</v>
      </c>
    </row>
    <row r="179" spans="1:6" x14ac:dyDescent="0.25">
      <c r="A179" s="5" t="s">
        <v>426</v>
      </c>
      <c r="B179" s="5" t="s">
        <v>53</v>
      </c>
      <c r="C179" s="6">
        <v>0.20610000000000001</v>
      </c>
      <c r="D179" s="7">
        <f>((4*12.0107)+(8*1.00794))/24.4650003</f>
        <v>2.2933300352340482</v>
      </c>
      <c r="E179" s="7">
        <f>((4*12.0107)+(8*1.00794))/22.4136</f>
        <v>2.5032266124138913</v>
      </c>
      <c r="F179" s="5" t="s">
        <v>427</v>
      </c>
    </row>
    <row r="180" spans="1:6" x14ac:dyDescent="0.25">
      <c r="A180" s="5" t="s">
        <v>428</v>
      </c>
      <c r="B180" s="5" t="s">
        <v>429</v>
      </c>
      <c r="C180" s="6">
        <v>0.31380000000000002</v>
      </c>
      <c r="D180" s="7">
        <f>((2*12.0107)+(3*1.00794)+(3*35.4527))/24.4650003</f>
        <v>5.4528231499756004</v>
      </c>
      <c r="E180" s="7">
        <f>((2*12.0107)+(3*1.00794)+(3*35.4527))/22.4136</f>
        <v>5.9518917086054905</v>
      </c>
      <c r="F180" s="5"/>
    </row>
    <row r="181" spans="1:6" x14ac:dyDescent="0.25">
      <c r="A181" s="5" t="s">
        <v>430</v>
      </c>
      <c r="B181" s="5" t="s">
        <v>431</v>
      </c>
      <c r="C181" s="6">
        <v>0.3427</v>
      </c>
      <c r="D181" s="7">
        <f>((2*12.0107)+(1*1.00794)+(4*35.4527))/24.4650003</f>
        <v>6.8195437545120319</v>
      </c>
      <c r="E181" s="7">
        <f>((2*12.0107)+(1*1.00794)+(4*35.4527))/22.4136</f>
        <v>7.4437011457329474</v>
      </c>
      <c r="F181" s="5"/>
    </row>
    <row r="182" spans="1:6" x14ac:dyDescent="0.25">
      <c r="A182" s="5" t="s">
        <v>432</v>
      </c>
      <c r="B182" s="5" t="s">
        <v>433</v>
      </c>
      <c r="C182" s="6">
        <v>0.22559999999999999</v>
      </c>
      <c r="D182" s="7">
        <f>((2*12.0107)+(3*35.4527)+(3*18.9984032))/24.4650003</f>
        <v>7.6588885061244012</v>
      </c>
      <c r="E182" s="7">
        <f>((2*12.0107)+(3*35.4527)+(3*18.9984032))/22.4136</f>
        <v>8.3598667594674669</v>
      </c>
      <c r="F182" s="5" t="s">
        <v>434</v>
      </c>
    </row>
    <row r="183" spans="1:6" x14ac:dyDescent="0.25">
      <c r="A183" s="5" t="s">
        <v>435</v>
      </c>
      <c r="B183" s="5" t="s">
        <v>436</v>
      </c>
      <c r="C183" s="6">
        <v>0.1623</v>
      </c>
      <c r="D183" s="7">
        <f>((6*12.0107)+(15*1.00794)+(1*14.00674))/24.4650003</f>
        <v>4.1361143984944082</v>
      </c>
      <c r="E183" s="7">
        <f>((6*12.0107)+(15*1.00794)+(1*14.00674))/22.4136</f>
        <v>4.5146714494771043</v>
      </c>
      <c r="F183" s="5" t="s">
        <v>437</v>
      </c>
    </row>
    <row r="184" spans="1:6" x14ac:dyDescent="0.25">
      <c r="A184" s="5" t="s">
        <v>438</v>
      </c>
      <c r="B184" s="5" t="s">
        <v>282</v>
      </c>
      <c r="C184" s="6">
        <v>0.28289999999999998</v>
      </c>
      <c r="D184" s="7">
        <f>((3*12.0107)+(9*1.00794)+(1*14.00674))/24.4650003</f>
        <v>2.4161168720688715</v>
      </c>
      <c r="E184" s="7">
        <f>((3*12.0107)+(9*1.00794)+(1*14.00674))/22.4136</f>
        <v>2.6372514901666846</v>
      </c>
      <c r="F184" s="5" t="s">
        <v>439</v>
      </c>
    </row>
    <row r="185" spans="1:6" x14ac:dyDescent="0.25">
      <c r="A185" s="5" t="s">
        <v>440</v>
      </c>
      <c r="B185" s="5" t="s">
        <v>441</v>
      </c>
      <c r="C185" s="6">
        <v>0.24529999999999999</v>
      </c>
      <c r="D185" s="7">
        <f>((1*183.84)+(6*18.9984032))/24.4650003</f>
        <v>12.173734541094611</v>
      </c>
      <c r="E185" s="7">
        <f>((1*183.84)+(6*18.9984032))/22.4136</f>
        <v>13.28793318342435</v>
      </c>
      <c r="F185" s="5"/>
    </row>
    <row r="186" spans="1:6" x14ac:dyDescent="0.25">
      <c r="A186" s="5" t="s">
        <v>442</v>
      </c>
      <c r="B186" s="5" t="s">
        <v>443</v>
      </c>
      <c r="C186" s="6">
        <v>0.18590000000000001</v>
      </c>
      <c r="D186" s="7">
        <f>((1*238.0289)+(6*18.9984032))/24.4650003</f>
        <v>14.388690573610988</v>
      </c>
      <c r="E186" s="7">
        <f>((1*238.0289)+(6*18.9984032))/22.4136</f>
        <v>15.705612628047257</v>
      </c>
      <c r="F186" s="5" t="s">
        <v>444</v>
      </c>
    </row>
    <row r="187" spans="1:6" x14ac:dyDescent="0.25">
      <c r="A187" s="5" t="s">
        <v>445</v>
      </c>
      <c r="B187" s="5" t="s">
        <v>446</v>
      </c>
      <c r="C187" s="6">
        <v>0.47760000000000002</v>
      </c>
      <c r="D187" s="7">
        <f>((2*12.0107)+(3*1.00794)+(1*79.904))/24.4650003</f>
        <v>4.3715192596993342</v>
      </c>
      <c r="E187" s="7">
        <f>((2*12.0107)+(3*1.00794)+(1*79.904))/22.4136</f>
        <v>4.7716216939715173</v>
      </c>
      <c r="F187" s="5"/>
    </row>
    <row r="188" spans="1:6" x14ac:dyDescent="0.25">
      <c r="A188" s="5" t="s">
        <v>447</v>
      </c>
      <c r="B188" s="5" t="s">
        <v>448</v>
      </c>
      <c r="C188" s="6">
        <v>0.49659999999999999</v>
      </c>
      <c r="D188" s="7">
        <f>((2*12.0107)+(3*1.00794)+(1*35.4527))/24.4650003</f>
        <v>2.5545848859033122</v>
      </c>
      <c r="E188" s="7">
        <f>((2*12.0107)+(3*1.00794)+(1*35.4527))/22.4136</f>
        <v>2.7883927615376378</v>
      </c>
      <c r="F188" s="5" t="s">
        <v>449</v>
      </c>
    </row>
    <row r="189" spans="1:6" x14ac:dyDescent="0.25">
      <c r="A189" s="5" t="s">
        <v>450</v>
      </c>
      <c r="B189" s="5" t="s">
        <v>451</v>
      </c>
      <c r="C189" s="6">
        <v>0.5716</v>
      </c>
      <c r="D189" s="7">
        <f>((2*12.0107)+(3*1.00794)+(1*18.9984032))/24.4650003</f>
        <v>1.8820201363332907</v>
      </c>
      <c r="E189" s="7">
        <f>((2*12.0107)+(3*1.00794)+(1*18.9984032))/22.4136</f>
        <v>2.0542716564942713</v>
      </c>
      <c r="F189" s="5"/>
    </row>
    <row r="190" spans="1:6" x14ac:dyDescent="0.25">
      <c r="A190" s="5" t="s">
        <v>452</v>
      </c>
      <c r="B190" s="5" t="s">
        <v>453</v>
      </c>
      <c r="C190" s="6">
        <v>0.79920000000000002</v>
      </c>
      <c r="D190" s="7">
        <f>((2*1.0794)+(1*15.9994))/24.4650003</f>
        <v>0.74221131319585554</v>
      </c>
      <c r="E190" s="7">
        <f>((2*1.0794)+(1*15.9994))/22.4136</f>
        <v>0.81014205660848781</v>
      </c>
      <c r="F190" s="5"/>
    </row>
    <row r="191" spans="1:6" x14ac:dyDescent="0.25">
      <c r="A191" s="5" t="s">
        <v>454</v>
      </c>
      <c r="B191" s="5" t="s">
        <v>455</v>
      </c>
      <c r="C191" s="6">
        <v>1.4041999999999999</v>
      </c>
      <c r="D191" s="7">
        <f>(1*131.29)/24.4650003</f>
        <v>5.3664417899067018</v>
      </c>
      <c r="E191" s="7">
        <f>(1*131.29)/22.4136</f>
        <v>5.8576043116679157</v>
      </c>
      <c r="F191" s="5"/>
    </row>
    <row r="192" spans="1:6" x14ac:dyDescent="0.25">
      <c r="A192" s="5" t="s">
        <v>456</v>
      </c>
      <c r="B192" s="5" t="s">
        <v>149</v>
      </c>
      <c r="C192" s="6">
        <v>0.2041</v>
      </c>
      <c r="D192" s="7">
        <f>((8*12.0107)+(10*1.00794))/24.4650003</f>
        <v>4.3394644879689617</v>
      </c>
      <c r="E192" s="7">
        <f>((8*12.0107)+(10*1.00794))/22.4136</f>
        <v>4.7366331156083801</v>
      </c>
      <c r="F192" s="5"/>
    </row>
    <row r="193" spans="1:6" x14ac:dyDescent="0.25">
      <c r="A193" s="5" t="s">
        <v>457</v>
      </c>
      <c r="B193" s="5" t="s">
        <v>149</v>
      </c>
      <c r="C193" s="6">
        <v>0.1958</v>
      </c>
      <c r="D193" s="7">
        <f>((8*12.0107)+(10*1.00794))/24.4650003</f>
        <v>4.3394644879689617</v>
      </c>
      <c r="E193" s="7">
        <f>((8*12.0107)+(10*1.00794))/22.4136</f>
        <v>4.7366331156083801</v>
      </c>
      <c r="F193" s="5"/>
    </row>
    <row r="194" spans="1:6" x14ac:dyDescent="0.25">
      <c r="A194" s="5" t="s">
        <v>458</v>
      </c>
      <c r="B194" s="5" t="s">
        <v>149</v>
      </c>
      <c r="C194" s="6">
        <v>0.20330000000000001</v>
      </c>
      <c r="D194" s="7">
        <f>((8*12.0107)+(10*1.00794))/24.4650003</f>
        <v>4.3394644879689617</v>
      </c>
      <c r="E194" s="7">
        <f>((8*12.0107)+(10*1.00794))/22.4136</f>
        <v>4.7366331156083801</v>
      </c>
      <c r="F194" s="5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  <headerFooter>
    <oddHeader xml:space="preserve">&amp;L
</oddHeader>
    <oddFooter xml:space="preserve">&amp;L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itus xmlns="http://schemas.titus.com/TitusProperties/">
  <TitusGUID xmlns="">86e3d742-bf67-4478-becd-258bc9d74721</TitusGUID>
  <TitusMetadata xmlns="">eyJucyI6Imh0dHA6XC9cL3d3dy50aXR1cy5jb21cL25zXC9GTElSIiwicHJvcHMiOlt7Im4iOiJFQ0lEYXRhIiwidmFscyI6W3sidmFsdWUiOiJOTyJ9XX0seyJuIjoiSW5jbHVkZUZvb3RlciIsInZhbHMiOlt7InZhbHVlIjoiTm8ifV19LHsibiI6Ik5vbkVDSU1hcmtpbmciLCJ2YWxzIjpbXX0seyJuIjoiUHVibGljUmVsZWFzZSIsInZhbHMiOltdfSx7Im4iOiJSZWZOdW1iZXIiLCJ2YWxzIjpbXX0seyJuIjoiU2VjdXJpdHlSZXZpZXdObyIsInZhbHMiOltdfSx7Im4iOiJFQ0lKdXJpcyIsInZhbHMiOltdfSx7Im4iOiJFQ0lJVEFSQ2xhc3MiLCJ2YWxzIjpbXX0seyJuIjoiRUNJRUFSQ2xhc3MiLCJ2YWxzIjpbXX0seyJuIjoibm9uVVNDb3VudHJ5IiwidmFscyI6W119LHsibiI6Im5vblVTRUNJSnVyaXMiLCJ2YWxzIjpbXX0seyJuIjoiVW5yZXNDb21wRXh0IiwidmFscyI6W3sidmFsdWUiOiJZRVMifV19LHsibiI6IkNvbXBTZW5zIiwidmFscyI6W3sidmFsdWUiOiJOTyJ9XX0seyJuIjoiSW5jbHVkZUNvbXBTZW5zTWFya2luZyIsInZhbHMiOltdfSx7Im4iOiJDb25mTGVnUHJpIiwidmFscyI6W3sidmFsdWUiOiJOTyJ9XX0seyJuIjoiUElJRGF0YSIsInZhbHMiOlt7InZhbHVlIjoiTk8ifV19LHsibiI6IkNVSURhdGEiLCJ2YWxzIjpbeyJ2YWx1ZSI6Ik5PIn1dfSx7Im4iOiJJbmNsdWRlQ1VJTWFya2luZyIsInZhbHMiOltdfSx7Im4iOiJDVUlDYXRlZ29yeSIsInZhbHMiOltdfSx7Im4iOiJEaXNzZW1pbmF0aW9uIiwidmFscyI6W119LHsibiI6IlJlbFRvIiwidmFscyI6W119LHsibiI6IkRpc3BsYXlPbmx5IiwidmFscyI6W119LHsibiI6IkNvbnRyb2xsZWRCeSIsInZhbHMiOltdfSx7Im4iOiJDb250cm9sbGVkQnkyIiwidmFscyI6W119LHsibiI6IkNvbnRhY3RJbmZvIiwidmFscyI6W119XX0=</TitusMetadata>
</titu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95C60530B584892F4BF9F6082F287" ma:contentTypeVersion="2" ma:contentTypeDescription="Create a new document." ma:contentTypeScope="" ma:versionID="fe6d6633a41689fe2ef8e6dc0be4b2d9">
  <xsd:schema xmlns:xsd="http://www.w3.org/2001/XMLSchema" xmlns:xs="http://www.w3.org/2001/XMLSchema" xmlns:p="http://schemas.microsoft.com/office/2006/metadata/properties" xmlns:ns1="http://schemas.microsoft.com/sharepoint/v3" xmlns:ns2="2ece42bb-5a49-470e-80ad-bedb385a5863" targetNamespace="http://schemas.microsoft.com/office/2006/metadata/properties" ma:root="true" ma:fieldsID="905366fe36444c885140609ce0904f81" ns1:_="" ns2:_="">
    <xsd:import namespace="http://schemas.microsoft.com/sharepoint/v3"/>
    <xsd:import namespace="2ece42bb-5a49-470e-80ad-bedb385a58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e42bb-5a49-470e-80ad-bedb385a5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E4418C-417F-4F5F-BB9A-BFB169F20808}">
  <ds:schemaRefs>
    <ds:schemaRef ds:uri="http://schemas.titus.com/TitusProperties/"/>
    <ds:schemaRef ds:uri=""/>
  </ds:schemaRefs>
</ds:datastoreItem>
</file>

<file path=customXml/itemProps2.xml><?xml version="1.0" encoding="utf-8"?>
<ds:datastoreItem xmlns:ds="http://schemas.openxmlformats.org/officeDocument/2006/customXml" ds:itemID="{7B2E07DA-8877-4A22-BDB7-AD80D2635C74}"/>
</file>

<file path=customXml/itemProps3.xml><?xml version="1.0" encoding="utf-8"?>
<ds:datastoreItem xmlns:ds="http://schemas.openxmlformats.org/officeDocument/2006/customXml" ds:itemID="{EAF0CA95-E664-4AF2-A4C0-449E9493FD01}"/>
</file>

<file path=customXml/itemProps4.xml><?xml version="1.0" encoding="utf-8"?>
<ds:datastoreItem xmlns:ds="http://schemas.openxmlformats.org/officeDocument/2006/customXml" ds:itemID="{0995F6C9-D0B0-4D3D-B24F-47FD67801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 Series GCF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Victoria S</dc:creator>
  <cp:lastModifiedBy>Maxwell, Todd (US)</cp:lastModifiedBy>
  <cp:lastPrinted>2023-07-11T14:47:52Z</cp:lastPrinted>
  <dcterms:created xsi:type="dcterms:W3CDTF">2023-07-11T14:41:00Z</dcterms:created>
  <dcterms:modified xsi:type="dcterms:W3CDTF">2023-07-19T14:31:47Z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86e3d742-bf67-4478-becd-258bc9d74721</vt:lpwstr>
  </property>
  <property fmtid="{D5CDD505-2E9C-101B-9397-08002B2CF9AE}" pid="3" name="ECIData">
    <vt:lpwstr>NO</vt:lpwstr>
  </property>
  <property fmtid="{D5CDD505-2E9C-101B-9397-08002B2CF9AE}" pid="4" name="IncludeFooter">
    <vt:lpwstr>No</vt:lpwstr>
  </property>
  <property fmtid="{D5CDD505-2E9C-101B-9397-08002B2CF9AE}" pid="5" name="UnresCompExt">
    <vt:lpwstr>YES</vt:lpwstr>
  </property>
  <property fmtid="{D5CDD505-2E9C-101B-9397-08002B2CF9AE}" pid="6" name="CompSens">
    <vt:lpwstr>NO</vt:lpwstr>
  </property>
  <property fmtid="{D5CDD505-2E9C-101B-9397-08002B2CF9AE}" pid="7" name="ConfLegPri">
    <vt:lpwstr>NO</vt:lpwstr>
  </property>
  <property fmtid="{D5CDD505-2E9C-101B-9397-08002B2CF9AE}" pid="8" name="PIIData">
    <vt:lpwstr>NO</vt:lpwstr>
  </property>
  <property fmtid="{D5CDD505-2E9C-101B-9397-08002B2CF9AE}" pid="9" name="CUIData">
    <vt:lpwstr>NO</vt:lpwstr>
  </property>
  <property fmtid="{D5CDD505-2E9C-101B-9397-08002B2CF9AE}" pid="10" name="ContentTypeId">
    <vt:lpwstr>0x010100ECC95C60530B584892F4BF9F6082F287</vt:lpwstr>
  </property>
</Properties>
</file>